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Jen's Files/Website/2023/pdf uploads/"/>
    </mc:Choice>
  </mc:AlternateContent>
  <xr:revisionPtr revIDLastSave="0" documentId="8_{3E982DE1-ACA2-CA42-9338-D0FEF3E4D0AD}" xr6:coauthVersionLast="47" xr6:coauthVersionMax="47" xr10:uidLastSave="{00000000-0000-0000-0000-000000000000}"/>
  <bookViews>
    <workbookView xWindow="0" yWindow="500" windowWidth="51200" windowHeight="28300" activeTab="1" xr2:uid="{00000000-000D-0000-FFFF-FFFF00000000}"/>
  </bookViews>
  <sheets>
    <sheet name="Budget 2020" sheetId="12" state="hidden" r:id="rId1"/>
    <sheet name="Personal Financial Data" sheetId="6" r:id="rId2"/>
    <sheet name="GCU Costs" sheetId="9" state="hidden" r:id="rId3"/>
    <sheet name="Dissemination of Assets" sheetId="10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6" l="1"/>
  <c r="M36" i="6"/>
  <c r="I58" i="12"/>
  <c r="G58" i="12"/>
  <c r="I57" i="12"/>
  <c r="G57" i="12"/>
  <c r="I56" i="12"/>
  <c r="I55" i="12"/>
  <c r="I54" i="12"/>
  <c r="I53" i="12"/>
  <c r="B53" i="12"/>
  <c r="C53" i="12" s="1"/>
  <c r="I50" i="12"/>
  <c r="G50" i="12"/>
  <c r="I49" i="12"/>
  <c r="G49" i="12"/>
  <c r="I48" i="12"/>
  <c r="B48" i="12"/>
  <c r="C48" i="12" s="1"/>
  <c r="I47" i="12"/>
  <c r="B47" i="12"/>
  <c r="C47" i="12" s="1"/>
  <c r="I46" i="12"/>
  <c r="B46" i="12"/>
  <c r="I45" i="12"/>
  <c r="I51" i="12" s="1"/>
  <c r="C45" i="12"/>
  <c r="I42" i="12"/>
  <c r="G42" i="12"/>
  <c r="I41" i="12"/>
  <c r="G41" i="12"/>
  <c r="I40" i="12"/>
  <c r="G40" i="12"/>
  <c r="I39" i="12"/>
  <c r="G39" i="12"/>
  <c r="C39" i="12"/>
  <c r="B39" i="12"/>
  <c r="B41" i="12" s="1"/>
  <c r="C41" i="12" s="1"/>
  <c r="F3" i="12" s="1"/>
  <c r="I38" i="12"/>
  <c r="G38" i="12"/>
  <c r="I37" i="12"/>
  <c r="G37" i="12"/>
  <c r="E42" i="12" s="1"/>
  <c r="I36" i="12" s="1"/>
  <c r="B4" i="12" s="1"/>
  <c r="C4" i="12" s="1"/>
  <c r="B34" i="12"/>
  <c r="C34" i="12" s="1"/>
  <c r="B33" i="12"/>
  <c r="C33" i="12" s="1"/>
  <c r="B32" i="12"/>
  <c r="C32" i="12" s="1"/>
  <c r="B31" i="12"/>
  <c r="C31" i="12" s="1"/>
  <c r="F22" i="12" s="1"/>
  <c r="B23" i="12"/>
  <c r="B21" i="12"/>
  <c r="C19" i="12"/>
  <c r="F17" i="12"/>
  <c r="C17" i="12"/>
  <c r="F15" i="12"/>
  <c r="I14" i="12"/>
  <c r="B13" i="12"/>
  <c r="B15" i="12" s="1"/>
  <c r="B22" i="12" s="1"/>
  <c r="I11" i="12"/>
  <c r="F9" i="12"/>
  <c r="M8" i="12"/>
  <c r="B24" i="12" s="1"/>
  <c r="L8" i="12"/>
  <c r="M7" i="12"/>
  <c r="L7" i="12"/>
  <c r="M5" i="12"/>
  <c r="L5" i="12"/>
  <c r="M3" i="12"/>
  <c r="L3" i="12"/>
  <c r="B3" i="12"/>
  <c r="B9" i="12" s="1"/>
  <c r="F3" i="10"/>
  <c r="F9" i="10" s="1"/>
  <c r="G9" i="10" s="1"/>
  <c r="F4" i="10"/>
  <c r="A2" i="10"/>
  <c r="P12" i="6"/>
  <c r="P11" i="6"/>
  <c r="P8" i="6"/>
  <c r="P9" i="6"/>
  <c r="P10" i="6"/>
  <c r="P13" i="6"/>
  <c r="P14" i="6"/>
  <c r="P15" i="6"/>
  <c r="P16" i="6"/>
  <c r="P17" i="6"/>
  <c r="P18" i="6"/>
  <c r="P21" i="6"/>
  <c r="P23" i="6"/>
  <c r="P7" i="6"/>
  <c r="L24" i="6"/>
  <c r="O37" i="6"/>
  <c r="P29" i="6"/>
  <c r="P30" i="6"/>
  <c r="P31" i="6"/>
  <c r="P32" i="6"/>
  <c r="P33" i="6"/>
  <c r="P34" i="6"/>
  <c r="P35" i="6"/>
  <c r="P36" i="6"/>
  <c r="P28" i="6"/>
  <c r="M29" i="6"/>
  <c r="M30" i="6"/>
  <c r="M31" i="6"/>
  <c r="M32" i="6"/>
  <c r="M33" i="6"/>
  <c r="M34" i="6"/>
  <c r="M37" i="6"/>
  <c r="M38" i="6"/>
  <c r="M28" i="6"/>
  <c r="M8" i="6"/>
  <c r="M9" i="6"/>
  <c r="M10" i="6"/>
  <c r="M11" i="6"/>
  <c r="M12" i="6"/>
  <c r="M13" i="6"/>
  <c r="M15" i="6"/>
  <c r="M16" i="6"/>
  <c r="M17" i="6"/>
  <c r="M18" i="6"/>
  <c r="M19" i="6"/>
  <c r="M20" i="6"/>
  <c r="M21" i="6"/>
  <c r="M22" i="6"/>
  <c r="M23" i="6"/>
  <c r="M7" i="6"/>
  <c r="B2" i="6"/>
  <c r="P22" i="6"/>
  <c r="I15" i="12" l="1"/>
  <c r="H9" i="10"/>
  <c r="D16" i="10"/>
  <c r="M14" i="6"/>
  <c r="I59" i="12"/>
  <c r="L9" i="12"/>
  <c r="B49" i="12"/>
  <c r="C49" i="12" s="1"/>
  <c r="M9" i="12"/>
  <c r="L39" i="6"/>
  <c r="M35" i="6"/>
  <c r="M39" i="6" s="1"/>
  <c r="P37" i="6"/>
  <c r="M24" i="6"/>
  <c r="B26" i="12"/>
  <c r="F2" i="12" s="1"/>
  <c r="F26" i="12" s="1"/>
  <c r="E38" i="12"/>
  <c r="E40" i="12" s="1"/>
  <c r="C46" i="12"/>
  <c r="B52" i="12" l="1"/>
  <c r="C52" i="12" s="1"/>
  <c r="B50" i="12"/>
  <c r="C50" i="12" s="1"/>
  <c r="B51" i="12"/>
  <c r="C51" i="12" s="1"/>
  <c r="B54" i="12"/>
  <c r="C54" i="12" s="1"/>
  <c r="C3" i="12" s="1"/>
  <c r="P20" i="6" l="1"/>
  <c r="P24" i="6" s="1"/>
  <c r="B8" i="12"/>
  <c r="B2" i="12"/>
  <c r="B5" i="12" s="1"/>
  <c r="B7" i="12" s="1"/>
  <c r="O24" i="6" l="1"/>
  <c r="F28" i="12"/>
  <c r="C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Kris Demarais</author>
    <author>kdemarais</author>
    <author>SLWS216</author>
  </authors>
  <commentList>
    <comment ref="Q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Kris Demarais:
</t>
        </r>
        <r>
          <rPr>
            <sz val="9"/>
            <color indexed="81"/>
            <rFont val="Tahoma"/>
            <family val="2"/>
          </rPr>
          <t>I have been teaching since I was 29, thus contribution to the FRS for 13 years since one of the years I was teaching was in a private school (John Carroll - 2015-2016 SY)</t>
        </r>
      </text>
    </comment>
    <comment ref="O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Kris Demarais:</t>
        </r>
        <r>
          <rPr>
            <sz val="9"/>
            <color indexed="81"/>
            <rFont val="Tahoma"/>
            <family val="2"/>
          </rPr>
          <t xml:space="preserve">
Jupiter Middle School</t>
        </r>
      </text>
    </comment>
    <comment ref="O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Kris Demarais:</t>
        </r>
        <r>
          <rPr>
            <sz val="9"/>
            <color indexed="81"/>
            <rFont val="Tahoma"/>
            <family val="2"/>
          </rPr>
          <t xml:space="preserve">
Palm Pointe</t>
        </r>
      </text>
    </comment>
    <comment ref="O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Kris Demarais:</t>
        </r>
        <r>
          <rPr>
            <sz val="9"/>
            <color indexed="81"/>
            <rFont val="Tahoma"/>
            <family val="2"/>
          </rPr>
          <t xml:space="preserve">
Martin County High School</t>
        </r>
      </text>
    </comment>
    <comment ref="O9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Kris Demarais:</t>
        </r>
        <r>
          <rPr>
            <sz val="9"/>
            <color indexed="81"/>
            <rFont val="Tahoma"/>
            <family val="2"/>
          </rPr>
          <t xml:space="preserve">
Palm Pointe</t>
        </r>
      </text>
    </comment>
    <comment ref="O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Kris Demarais:</t>
        </r>
        <r>
          <rPr>
            <sz val="9"/>
            <color indexed="81"/>
            <rFont val="Tahoma"/>
            <family val="2"/>
          </rPr>
          <t xml:space="preserve">
John Carroll Catholic High School</t>
        </r>
      </text>
    </comment>
    <comment ref="B14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2.4183%</t>
        </r>
      </text>
    </comment>
    <comment ref="O14" authorId="3" shapeId="0" xr:uid="{00000000-0006-0000-0000-000008000000}">
      <text>
        <r>
          <rPr>
            <b/>
            <sz val="9"/>
            <color indexed="81"/>
            <rFont val="Tahoma"/>
            <family val="2"/>
          </rPr>
          <t>SLWS216:</t>
        </r>
        <r>
          <rPr>
            <sz val="9"/>
            <color indexed="81"/>
            <rFont val="Tahoma"/>
            <family val="2"/>
          </rPr>
          <t xml:space="preserve">
IRSC</t>
        </r>
      </text>
    </comment>
    <comment ref="A16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USAA Home Insurance</t>
        </r>
      </text>
    </comment>
    <comment ref="F17" authorId="2" shapeId="0" xr:uid="{00000000-0006-0000-0000-00000A000000}">
      <text>
        <r>
          <rPr>
            <sz val="9"/>
            <color indexed="81"/>
            <rFont val="Tahoma"/>
            <family val="2"/>
          </rPr>
          <t xml:space="preserve">Monthly Bill: $383 per month
Time Share Mat Fee: $1,400 every other year therefore $700 year.
Approx: $60 per month
</t>
        </r>
      </text>
    </comment>
    <comment ref="F30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Kris Demarais:</t>
        </r>
        <r>
          <rPr>
            <sz val="9"/>
            <color indexed="81"/>
            <rFont val="Tahoma"/>
            <family val="2"/>
          </rPr>
          <t xml:space="preserve">
Every other year maintance and taxes</t>
        </r>
      </text>
    </comment>
  </commentList>
</comments>
</file>

<file path=xl/sharedStrings.xml><?xml version="1.0" encoding="utf-8"?>
<sst xmlns="http://schemas.openxmlformats.org/spreadsheetml/2006/main" count="502" uniqueCount="348">
  <si>
    <t>Assets/Income</t>
  </si>
  <si>
    <t>Liabilities</t>
  </si>
  <si>
    <t>Current</t>
  </si>
  <si>
    <t>Kris Income</t>
  </si>
  <si>
    <t>Kris's Income</t>
  </si>
  <si>
    <t>Mortgage</t>
  </si>
  <si>
    <t>Kati Annuity</t>
  </si>
  <si>
    <t>Total</t>
  </si>
  <si>
    <t>Kati's Annuity</t>
  </si>
  <si>
    <t>Trust Support</t>
  </si>
  <si>
    <t>Car Ins. w/Umbrella</t>
  </si>
  <si>
    <t>Kris's Annual</t>
  </si>
  <si>
    <t>Annual Income</t>
  </si>
  <si>
    <t>HOA Dues</t>
  </si>
  <si>
    <t>Kati's Annual</t>
  </si>
  <si>
    <t>Electric Bill</t>
  </si>
  <si>
    <t>WastePro</t>
  </si>
  <si>
    <t>Purchase Cost</t>
  </si>
  <si>
    <t>Living Sq. Ft</t>
  </si>
  <si>
    <t>Water/Sewer</t>
  </si>
  <si>
    <t>Assessed Val</t>
  </si>
  <si>
    <t>Terminex</t>
  </si>
  <si>
    <t>Tax %</t>
  </si>
  <si>
    <t>Total Sq. Ft</t>
  </si>
  <si>
    <t>Gasoline (Car)</t>
  </si>
  <si>
    <t>Taxes</t>
  </si>
  <si>
    <t>DishNetwork</t>
  </si>
  <si>
    <t>Home Ins.</t>
  </si>
  <si>
    <t>Price p/Liv SF</t>
  </si>
  <si>
    <t>Mortgage Amt</t>
  </si>
  <si>
    <t>HomeTown Cable/Tel</t>
  </si>
  <si>
    <t>Interest %</t>
  </si>
  <si>
    <t>Price p/Tot SF</t>
  </si>
  <si>
    <t>Cell phones</t>
  </si>
  <si>
    <t>Term Life Ins.</t>
  </si>
  <si>
    <t>Whole Life Ins.</t>
  </si>
  <si>
    <t>Principal &amp; Int</t>
  </si>
  <si>
    <t>Monthly Tax $</t>
  </si>
  <si>
    <t>Monthly Ins $</t>
  </si>
  <si>
    <t>Food</t>
  </si>
  <si>
    <t>Church Donation</t>
  </si>
  <si>
    <t>Net Worth</t>
  </si>
  <si>
    <t>Total Cost</t>
  </si>
  <si>
    <t>Mortage</t>
  </si>
  <si>
    <t>Adjust Value</t>
  </si>
  <si>
    <t>Total Home Cost</t>
  </si>
  <si>
    <t>NetFlix</t>
  </si>
  <si>
    <t>Kris's Income Break Down</t>
  </si>
  <si>
    <t>Base Pay</t>
  </si>
  <si>
    <t>Med Insurance</t>
  </si>
  <si>
    <t>Dental Insurance</t>
  </si>
  <si>
    <t>Per Pay Period</t>
  </si>
  <si>
    <t>Per Year</t>
  </si>
  <si>
    <t>Total Taxable Inc</t>
  </si>
  <si>
    <t>Soc Sec Tax</t>
  </si>
  <si>
    <t>Fed Tax</t>
  </si>
  <si>
    <t>Medicare Tax</t>
  </si>
  <si>
    <t>Total Pay</t>
  </si>
  <si>
    <t>At 15% of Pay</t>
  </si>
  <si>
    <t>At 10% of Pay</t>
  </si>
  <si>
    <t>At 5% of Pay</t>
  </si>
  <si>
    <t>Choose Any Rate</t>
  </si>
  <si>
    <t>Personal Financial Data</t>
  </si>
  <si>
    <t>Date:</t>
  </si>
  <si>
    <t>Personal</t>
  </si>
  <si>
    <t>Name</t>
  </si>
  <si>
    <t>YOS</t>
  </si>
  <si>
    <t>Employer</t>
  </si>
  <si>
    <t xml:space="preserve">       Check here if Clients are Married: </t>
  </si>
  <si>
    <t>Dreams and Values</t>
  </si>
  <si>
    <t>Current Income</t>
  </si>
  <si>
    <t>Annual Employment Income:</t>
  </si>
  <si>
    <t xml:space="preserve">      Other Income:</t>
  </si>
  <si>
    <t xml:space="preserve">●     </t>
  </si>
  <si>
    <t>Interest and Dividends:</t>
  </si>
  <si>
    <t>$</t>
  </si>
  <si>
    <t>Other:</t>
  </si>
  <si>
    <t>Client Two:</t>
  </si>
  <si>
    <t>Dependents</t>
  </si>
  <si>
    <t>Date of Birth</t>
  </si>
  <si>
    <t>Client One</t>
  </si>
  <si>
    <t>Client Two</t>
  </si>
  <si>
    <t>College Planning</t>
  </si>
  <si>
    <t>School Name</t>
  </si>
  <si>
    <t>Age to Start School</t>
  </si>
  <si>
    <t>Number of Years in School</t>
  </si>
  <si>
    <t>Annual Cost</t>
  </si>
  <si>
    <t>Portion to Fund</t>
  </si>
  <si>
    <t>Amount Currently Saved</t>
  </si>
  <si>
    <t>?</t>
  </si>
  <si>
    <t>Year</t>
  </si>
  <si>
    <t>Age</t>
  </si>
  <si>
    <t>Charlie</t>
  </si>
  <si>
    <t>Lilly</t>
  </si>
  <si>
    <t>Current Expenses</t>
  </si>
  <si>
    <t>Housing</t>
  </si>
  <si>
    <t>Other Expenses</t>
  </si>
  <si>
    <t>Monthly</t>
  </si>
  <si>
    <t>Yearly</t>
  </si>
  <si>
    <t>Mortgage #1</t>
  </si>
  <si>
    <t>Dining Out</t>
  </si>
  <si>
    <t>Mortgage # 2</t>
  </si>
  <si>
    <t>FPL</t>
  </si>
  <si>
    <t>Children’s Activities</t>
  </si>
  <si>
    <t>Water and Sewer</t>
  </si>
  <si>
    <t>Vacations / Holidays</t>
  </si>
  <si>
    <t>Home Telephone</t>
  </si>
  <si>
    <t>Birthday Gifts</t>
  </si>
  <si>
    <t>Cell Phones</t>
  </si>
  <si>
    <t>Holiday Gifts</t>
  </si>
  <si>
    <t>Furnishings</t>
  </si>
  <si>
    <t>Anniversary Gifts</t>
  </si>
  <si>
    <t>Gas</t>
  </si>
  <si>
    <t>Charitable Donations</t>
  </si>
  <si>
    <t>Clothing</t>
  </si>
  <si>
    <t>Life Insurance</t>
  </si>
  <si>
    <t>Cable</t>
  </si>
  <si>
    <t>LTC Insurance</t>
  </si>
  <si>
    <t>Landscaping</t>
  </si>
  <si>
    <t>Disability Income Insurance</t>
  </si>
  <si>
    <t>Internet</t>
  </si>
  <si>
    <t>Supplemental Insurance</t>
  </si>
  <si>
    <t>Food and Beverages</t>
  </si>
  <si>
    <t>Additional Associations</t>
  </si>
  <si>
    <t>HOA</t>
  </si>
  <si>
    <t>Income Taxes</t>
  </si>
  <si>
    <t>Cleaning Services</t>
  </si>
  <si>
    <t>Qualified Plan Contributions</t>
  </si>
  <si>
    <t>Parking</t>
  </si>
  <si>
    <t>Property Taxes</t>
  </si>
  <si>
    <t>Additional Maintenance</t>
  </si>
  <si>
    <t>Total Home Expenses</t>
  </si>
  <si>
    <t>Other Total</t>
  </si>
  <si>
    <t>Personal Expenses</t>
  </si>
  <si>
    <t>Automobile Expenses</t>
  </si>
  <si>
    <t>Child Care</t>
  </si>
  <si>
    <t>Automobile Monthly Payment # 1</t>
  </si>
  <si>
    <t>Gym Membership</t>
  </si>
  <si>
    <t>Automobile Monthly Payment # 2</t>
  </si>
  <si>
    <t>Beauty Parlor / Haircuts</t>
  </si>
  <si>
    <t>Automobile Monthly Payment # 3</t>
  </si>
  <si>
    <t>Manicure / Pedicure</t>
  </si>
  <si>
    <t>Automobile Monthly Payment # 4</t>
  </si>
  <si>
    <t>Dry cleaning</t>
  </si>
  <si>
    <t>Insurance</t>
  </si>
  <si>
    <t>Beauty Supplies / Makeup</t>
  </si>
  <si>
    <t>Registration</t>
  </si>
  <si>
    <t>Prescription Drugs</t>
  </si>
  <si>
    <t>Fuel</t>
  </si>
  <si>
    <t>Medical Insurance</t>
  </si>
  <si>
    <t>Maintenance</t>
  </si>
  <si>
    <t>Tolls</t>
  </si>
  <si>
    <t>Education / Self Improvement</t>
  </si>
  <si>
    <t>Automobile Total</t>
  </si>
  <si>
    <t>Debt / Installment Payments</t>
  </si>
  <si>
    <t>Personal Total</t>
  </si>
  <si>
    <t>Account Name</t>
  </si>
  <si>
    <t>Balance</t>
  </si>
  <si>
    <t>Loan / Interest Rate</t>
  </si>
  <si>
    <t>%</t>
  </si>
  <si>
    <t>Residence/ Mortgage</t>
  </si>
  <si>
    <t>Other Debt</t>
  </si>
  <si>
    <t>Loan Balance</t>
  </si>
  <si>
    <t>Retirement Income Needs</t>
  </si>
  <si>
    <r>
      <t>□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Monthly Amount Needed Client 1: Age ____  $</t>
    </r>
    <r>
      <rPr>
        <u/>
        <sz val="11"/>
        <rFont val="Calibri"/>
        <family val="2"/>
      </rPr>
      <t>______________</t>
    </r>
  </si>
  <si>
    <r>
      <t>□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>Monthly Amount Needed Client 2: Age ____  $___</t>
    </r>
    <r>
      <rPr>
        <u/>
        <sz val="11"/>
        <rFont val="Calibri"/>
        <family val="2"/>
      </rPr>
      <t>___________</t>
    </r>
    <r>
      <rPr>
        <sz val="11"/>
        <rFont val="Calibri"/>
        <family val="2"/>
      </rPr>
      <t xml:space="preserve"> </t>
    </r>
  </si>
  <si>
    <t>Social Security benefits:</t>
  </si>
  <si>
    <r>
      <t>□</t>
    </r>
    <r>
      <rPr>
        <sz val="7"/>
        <rFont val="Times New Roman"/>
        <family val="1"/>
      </rPr>
      <t xml:space="preserve">    </t>
    </r>
    <r>
      <rPr>
        <sz val="11"/>
        <rFont val="Calibri"/>
        <family val="2"/>
      </rPr>
      <t>Monthly Amount Client 1: $_______________</t>
    </r>
  </si>
  <si>
    <r>
      <t>□</t>
    </r>
    <r>
      <rPr>
        <sz val="7"/>
        <rFont val="Times New Roman"/>
        <family val="1"/>
      </rPr>
      <t xml:space="preserve">    </t>
    </r>
    <r>
      <rPr>
        <sz val="11"/>
        <rFont val="Calibri"/>
        <family val="2"/>
      </rPr>
      <t>Monthly Amount Client 2: $_______________</t>
    </r>
  </si>
  <si>
    <t>Other Retirement Income Sources / Defined Benefit Plans</t>
  </si>
  <si>
    <t xml:space="preserve">   </t>
  </si>
  <si>
    <t>Owner</t>
  </si>
  <si>
    <t>Amount</t>
  </si>
  <si>
    <t>Assets / Retirement Plans</t>
  </si>
  <si>
    <t>Client</t>
  </si>
  <si>
    <t>Monthly Savings</t>
  </si>
  <si>
    <t>Company Match</t>
  </si>
  <si>
    <t>Cash</t>
  </si>
  <si>
    <t>Residence</t>
  </si>
  <si>
    <t>Property</t>
  </si>
  <si>
    <t>Annual Increase in Contribution</t>
  </si>
  <si>
    <t>Assumed Rate of Return</t>
  </si>
  <si>
    <t>Name of Income Source</t>
  </si>
  <si>
    <t>Start Age</t>
  </si>
  <si>
    <t>Monthly or Lump Sum</t>
  </si>
  <si>
    <t>P/V or F/V</t>
  </si>
  <si>
    <t>End Age</t>
  </si>
  <si>
    <t>Inflate Annually</t>
  </si>
  <si>
    <t>Available to Survivor</t>
  </si>
  <si>
    <t>Protection Products</t>
  </si>
  <si>
    <t>Issue Date</t>
  </si>
  <si>
    <t>Company</t>
  </si>
  <si>
    <t>Type</t>
  </si>
  <si>
    <t>Premium</t>
  </si>
  <si>
    <t>Amount / Death Benefit</t>
  </si>
  <si>
    <t>Cash Value</t>
  </si>
  <si>
    <t>Riders</t>
  </si>
  <si>
    <t>Contract Number</t>
  </si>
  <si>
    <t>Protection / Insurance Needs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</si>
  <si>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 xml:space="preserve"> </t>
    </r>
  </si>
  <si>
    <t>Final Expenses</t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</si>
  <si>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 </t>
    </r>
  </si>
  <si>
    <t>Emergency Reserve</t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</si>
  <si>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 </t>
    </r>
  </si>
  <si>
    <r>
      <t>4.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 </t>
    </r>
  </si>
  <si>
    <t>Other Debts</t>
  </si>
  <si>
    <r>
      <t>5.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 </t>
    </r>
  </si>
  <si>
    <t>Present Value of Income Needed</t>
  </si>
  <si>
    <t>Total Insurance Need:</t>
  </si>
  <si>
    <t>Action Items</t>
  </si>
  <si>
    <t>Notes</t>
  </si>
  <si>
    <t>Miscellaneous Expenses</t>
  </si>
  <si>
    <t>Monthly Expenses</t>
  </si>
  <si>
    <t>Laural Springs Income</t>
  </si>
  <si>
    <t>Jan</t>
  </si>
  <si>
    <t>Mar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</si>
  <si>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</si>
  <si>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</si>
  <si>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</si>
  <si>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</si>
  <si>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</si>
  <si>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</si>
  <si>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</si>
  <si>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</si>
  <si>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</si>
  <si>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</si>
  <si>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Total:</t>
  </si>
  <si>
    <t>Taxes Due:</t>
  </si>
  <si>
    <t>Laurel Springs</t>
  </si>
  <si>
    <t>Current Monthly Inc:</t>
  </si>
  <si>
    <t>Current Monthly Income</t>
  </si>
  <si>
    <t>Kris &amp; Kati's Car Payment</t>
  </si>
  <si>
    <t>Westgate Lakes Maint.</t>
  </si>
  <si>
    <t>Westgate Time Share</t>
  </si>
  <si>
    <t>Chegg, Inc</t>
  </si>
  <si>
    <t>Over Payment</t>
  </si>
  <si>
    <t>Indian River SC</t>
  </si>
  <si>
    <t>Grand Canyon University (Doctorate)</t>
  </si>
  <si>
    <t>FRS</t>
  </si>
  <si>
    <t>Other withholding</t>
  </si>
  <si>
    <t>Academic Year (AY) 2016 - 2017</t>
  </si>
  <si>
    <t>Scholarships and Other Aid</t>
  </si>
  <si>
    <t>Other Aid</t>
  </si>
  <si>
    <t>Financial Aid</t>
  </si>
  <si>
    <t>Summary</t>
  </si>
  <si>
    <t>AY1</t>
  </si>
  <si>
    <t>AY2</t>
  </si>
  <si>
    <t>AY3</t>
  </si>
  <si>
    <t>AY4</t>
  </si>
  <si>
    <t>AY5</t>
  </si>
  <si>
    <t>Learning Management System Fee</t>
  </si>
  <si>
    <t>Course/Lab/Graduation Fees</t>
  </si>
  <si>
    <t>Total Estimated Cost</t>
  </si>
  <si>
    <t>Canyon Connect Fee</t>
  </si>
  <si>
    <t>Estimated Tuition</t>
  </si>
  <si>
    <t>Credit Hours</t>
  </si>
  <si>
    <t>Estimated Costs</t>
  </si>
  <si>
    <t>Total Estimated Scholarship and</t>
  </si>
  <si>
    <t>Federal Loans (Stafford)</t>
  </si>
  <si>
    <t>Total Estimated Federal Aid</t>
  </si>
  <si>
    <t>Estimated Net Cost</t>
  </si>
  <si>
    <t>Total Credits</t>
  </si>
  <si>
    <t>Total Tution</t>
  </si>
  <si>
    <t>Cost Per Credit</t>
  </si>
  <si>
    <t>Other fees</t>
  </si>
  <si>
    <t>IRSC Support</t>
  </si>
  <si>
    <t>After IRSC</t>
  </si>
  <si>
    <t>GCU Cost</t>
  </si>
  <si>
    <t>Movies /Netflix</t>
  </si>
  <si>
    <t xml:space="preserve">Client One: </t>
  </si>
  <si>
    <t>Car Loan Payment</t>
  </si>
  <si>
    <t>Loan Amount</t>
  </si>
  <si>
    <t>Annual Interest Rate</t>
  </si>
  <si>
    <t>Term in Years</t>
  </si>
  <si>
    <t>Yr1:</t>
  </si>
  <si>
    <t>Yr2:</t>
  </si>
  <si>
    <t>Yr3:</t>
  </si>
  <si>
    <t>Yr4:</t>
  </si>
  <si>
    <t>Yr5:</t>
  </si>
  <si>
    <t>Yr6:</t>
  </si>
  <si>
    <t>Tot:</t>
  </si>
  <si>
    <t>Monthly Pay (with INT)</t>
  </si>
  <si>
    <t>Monthly Pay (without INT)</t>
  </si>
  <si>
    <t>1-800-721-9654 ex 1561864</t>
  </si>
  <si>
    <t>1-855-813-7742</t>
  </si>
  <si>
    <t>Fax registration</t>
  </si>
  <si>
    <t>10 day pay off</t>
  </si>
  <si>
    <t>Work Phone:</t>
  </si>
  <si>
    <t>772-462-7827</t>
  </si>
  <si>
    <t>Phone</t>
  </si>
  <si>
    <t>Fax</t>
  </si>
  <si>
    <t>App #</t>
  </si>
  <si>
    <t>To Do</t>
  </si>
  <si>
    <t>Loan Options</t>
  </si>
  <si>
    <t>Potential Car Purchase</t>
  </si>
  <si>
    <t>or Refinance</t>
  </si>
  <si>
    <t>Current  Loan Bank of America</t>
  </si>
  <si>
    <t>Valic (403b) through IRSC</t>
  </si>
  <si>
    <t>Valic Investment</t>
  </si>
  <si>
    <t>Tradition's HOA Dues</t>
  </si>
  <si>
    <t>Tradition HOA:</t>
  </si>
  <si>
    <t>TownPark HOA:</t>
  </si>
  <si>
    <t>Bennington HOA:</t>
  </si>
  <si>
    <t>Month</t>
  </si>
  <si>
    <t>Years Teaching</t>
  </si>
  <si>
    <t>Children</t>
  </si>
  <si>
    <t>Tammy</t>
  </si>
  <si>
    <t>Sean</t>
  </si>
  <si>
    <t>Kim</t>
  </si>
  <si>
    <t>Kris</t>
  </si>
  <si>
    <t>Robin</t>
  </si>
  <si>
    <t>Missy</t>
  </si>
  <si>
    <t>Brenda</t>
  </si>
  <si>
    <t>Tom</t>
  </si>
  <si>
    <t>Mike</t>
  </si>
  <si>
    <t>Joe</t>
  </si>
  <si>
    <t>Danny</t>
  </si>
  <si>
    <t>Johnny</t>
  </si>
  <si>
    <t>Marie</t>
  </si>
  <si>
    <t>Grand Children</t>
  </si>
  <si>
    <t>Bryan</t>
  </si>
  <si>
    <t>Josh</t>
  </si>
  <si>
    <t>Christine</t>
  </si>
  <si>
    <t>Hunter</t>
  </si>
  <si>
    <t>Cody</t>
  </si>
  <si>
    <t>Ross</t>
  </si>
  <si>
    <t>Nick</t>
  </si>
  <si>
    <t>Michael</t>
  </si>
  <si>
    <t>Nicole</t>
  </si>
  <si>
    <t>Evan</t>
  </si>
  <si>
    <t>Elyse</t>
  </si>
  <si>
    <t>Daniel (step)</t>
  </si>
  <si>
    <t>Samuel</t>
  </si>
  <si>
    <t>Gabe</t>
  </si>
  <si>
    <t>Child of</t>
  </si>
  <si>
    <t>Assets</t>
  </si>
  <si>
    <t>Minnisota Property</t>
  </si>
  <si>
    <t>Gold/Silver</t>
  </si>
  <si>
    <t>Florida Property</t>
  </si>
  <si>
    <t>PSE&amp;G Retirement</t>
  </si>
  <si>
    <t>Insurance Policy 1</t>
  </si>
  <si>
    <t>Insurance Policy 2</t>
  </si>
  <si>
    <t>Sum</t>
  </si>
  <si>
    <t>Amount Left</t>
  </si>
  <si>
    <t xml:space="preserve">     E-Mail:</t>
  </si>
  <si>
    <t xml:space="preserve">Address: </t>
  </si>
  <si>
    <t xml:space="preserve">Phone: </t>
  </si>
  <si>
    <t>(Prepared by Dr. Kris Demaris)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</si>
</sst>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00%"/>
    <numFmt numFmtId="167" formatCode="[$-409]mmmm\ d\,\ yyyy;@"/>
    <numFmt numFmtId="168" formatCode="mm/dd/yy;@"/>
    <numFmt numFmtId="169" formatCode="0.0%"/>
  </numFmts>
  <fonts count="29" x14ac:knownFonts="1">
    <font>
      <sz val="10"/>
      <name val="Arial"/>
    </font>
    <font>
      <sz val="10"/>
      <name val="Arial"/>
      <family val="2"/>
    </font>
    <font>
      <b/>
      <i/>
      <sz val="10"/>
      <name val="Verdana"/>
      <family val="2"/>
    </font>
    <font>
      <sz val="10"/>
      <color indexed="9"/>
      <name val="Verdana"/>
      <family val="2"/>
    </font>
    <font>
      <b/>
      <i/>
      <sz val="10"/>
      <color indexed="8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</font>
    <font>
      <sz val="14"/>
      <name val="Arial Black"/>
      <family val="2"/>
    </font>
    <font>
      <sz val="7"/>
      <name val="Times New Roman"/>
      <family val="1"/>
    </font>
    <font>
      <b/>
      <i/>
      <sz val="10"/>
      <name val="Verdana"/>
      <family val="2"/>
    </font>
    <font>
      <sz val="8"/>
      <name val="Arial"/>
      <family val="2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164" fontId="0" fillId="0" borderId="11" xfId="0" applyNumberFormat="1" applyBorder="1"/>
    <xf numFmtId="0" fontId="0" fillId="0" borderId="2" xfId="0" applyBorder="1"/>
    <xf numFmtId="165" fontId="0" fillId="0" borderId="0" xfId="0" applyNumberFormat="1"/>
    <xf numFmtId="0" fontId="0" fillId="0" borderId="12" xfId="0" applyBorder="1"/>
    <xf numFmtId="165" fontId="0" fillId="0" borderId="13" xfId="0" applyNumberFormat="1" applyBorder="1"/>
    <xf numFmtId="164" fontId="3" fillId="0" borderId="0" xfId="0" applyNumberFormat="1" applyFont="1"/>
    <xf numFmtId="10" fontId="0" fillId="0" borderId="0" xfId="0" applyNumberFormat="1"/>
    <xf numFmtId="165" fontId="0" fillId="0" borderId="5" xfId="0" applyNumberFormat="1" applyBorder="1"/>
    <xf numFmtId="165" fontId="0" fillId="0" borderId="14" xfId="0" applyNumberFormat="1" applyBorder="1"/>
    <xf numFmtId="0" fontId="0" fillId="0" borderId="0" xfId="0" applyAlignment="1">
      <alignment horizontal="center"/>
    </xf>
    <xf numFmtId="0" fontId="0" fillId="2" borderId="15" xfId="0" applyFill="1" applyBorder="1"/>
    <xf numFmtId="0" fontId="4" fillId="0" borderId="0" xfId="0" applyFont="1"/>
    <xf numFmtId="164" fontId="5" fillId="0" borderId="0" xfId="0" applyNumberFormat="1" applyFont="1"/>
    <xf numFmtId="164" fontId="0" fillId="0" borderId="0" xfId="0" applyNumberFormat="1" applyAlignment="1">
      <alignment horizontal="right"/>
    </xf>
    <xf numFmtId="10" fontId="6" fillId="0" borderId="0" xfId="0" applyNumberFormat="1" applyFont="1"/>
    <xf numFmtId="0" fontId="0" fillId="0" borderId="16" xfId="0" applyBorder="1"/>
    <xf numFmtId="0" fontId="0" fillId="0" borderId="18" xfId="0" applyBorder="1"/>
    <xf numFmtId="0" fontId="0" fillId="0" borderId="21" xfId="0" applyBorder="1"/>
    <xf numFmtId="164" fontId="0" fillId="0" borderId="1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10" fillId="0" borderId="4" xfId="0" applyFont="1" applyBorder="1"/>
    <xf numFmtId="0" fontId="10" fillId="0" borderId="0" xfId="0" applyFont="1"/>
    <xf numFmtId="165" fontId="0" fillId="0" borderId="9" xfId="0" applyNumberFormat="1" applyBorder="1"/>
    <xf numFmtId="164" fontId="0" fillId="0" borderId="19" xfId="0" applyNumberFormat="1" applyBorder="1"/>
    <xf numFmtId="165" fontId="0" fillId="0" borderId="17" xfId="0" applyNumberFormat="1" applyBorder="1"/>
    <xf numFmtId="165" fontId="0" fillId="0" borderId="19" xfId="0" applyNumberFormat="1" applyBorder="1"/>
    <xf numFmtId="165" fontId="0" fillId="0" borderId="20" xfId="0" applyNumberFormat="1" applyBorder="1"/>
    <xf numFmtId="0" fontId="11" fillId="0" borderId="16" xfId="0" applyFont="1" applyBorder="1"/>
    <xf numFmtId="0" fontId="0" fillId="0" borderId="7" xfId="0" applyBorder="1"/>
    <xf numFmtId="9" fontId="9" fillId="2" borderId="18" xfId="0" applyNumberFormat="1" applyFont="1" applyFill="1" applyBorder="1" applyAlignment="1">
      <alignment horizontal="center"/>
    </xf>
    <xf numFmtId="0" fontId="10" fillId="0" borderId="16" xfId="0" applyFont="1" applyBorder="1"/>
    <xf numFmtId="0" fontId="0" fillId="0" borderId="7" xfId="0" applyBorder="1" applyAlignment="1">
      <alignment horizontal="center"/>
    </xf>
    <xf numFmtId="0" fontId="0" fillId="0" borderId="22" xfId="0" applyBorder="1"/>
    <xf numFmtId="164" fontId="0" fillId="2" borderId="23" xfId="0" applyNumberFormat="1" applyFill="1" applyBorder="1"/>
    <xf numFmtId="0" fontId="0" fillId="0" borderId="9" xfId="0" applyBorder="1"/>
    <xf numFmtId="166" fontId="0" fillId="0" borderId="0" xfId="0" applyNumberFormat="1"/>
    <xf numFmtId="5" fontId="1" fillId="0" borderId="0" xfId="1" applyNumberFormat="1" applyBorder="1" applyAlignment="1">
      <alignment horizontal="center"/>
    </xf>
    <xf numFmtId="165" fontId="0" fillId="2" borderId="24" xfId="0" applyNumberFormat="1" applyFill="1" applyBorder="1"/>
    <xf numFmtId="0" fontId="13" fillId="0" borderId="25" xfId="0" applyFont="1" applyBorder="1" applyAlignment="1">
      <alignment horizontal="left"/>
    </xf>
    <xf numFmtId="0" fontId="0" fillId="0" borderId="25" xfId="0" applyBorder="1"/>
    <xf numFmtId="0" fontId="17" fillId="0" borderId="0" xfId="0" applyFont="1"/>
    <xf numFmtId="0" fontId="17" fillId="0" borderId="0" xfId="0" applyFont="1" applyAlignment="1">
      <alignment vertical="center"/>
    </xf>
    <xf numFmtId="0" fontId="14" fillId="0" borderId="0" xfId="0" applyFont="1"/>
    <xf numFmtId="0" fontId="0" fillId="0" borderId="26" xfId="0" applyBorder="1"/>
    <xf numFmtId="0" fontId="14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4" fillId="0" borderId="9" xfId="0" applyFont="1" applyBorder="1"/>
    <xf numFmtId="0" fontId="14" fillId="0" borderId="23" xfId="0" applyFont="1" applyBorder="1"/>
    <xf numFmtId="0" fontId="0" fillId="0" borderId="23" xfId="0" applyBorder="1"/>
    <xf numFmtId="0" fontId="14" fillId="0" borderId="0" xfId="0" applyFont="1" applyAlignment="1">
      <alignment horizontal="left"/>
    </xf>
    <xf numFmtId="0" fontId="14" fillId="0" borderId="27" xfId="0" applyFont="1" applyBorder="1" applyAlignment="1">
      <alignment horizontal="center" vertical="center"/>
    </xf>
    <xf numFmtId="0" fontId="28" fillId="0" borderId="0" xfId="0" applyFont="1"/>
    <xf numFmtId="0" fontId="20" fillId="0" borderId="0" xfId="0" applyFont="1" applyAlignment="1">
      <alignment horizontal="right" vertical="center"/>
    </xf>
    <xf numFmtId="165" fontId="20" fillId="0" borderId="9" xfId="0" applyNumberFormat="1" applyFont="1" applyBorder="1"/>
    <xf numFmtId="165" fontId="20" fillId="0" borderId="23" xfId="0" applyNumberFormat="1" applyFont="1" applyBorder="1"/>
    <xf numFmtId="168" fontId="14" fillId="0" borderId="26" xfId="0" applyNumberFormat="1" applyFont="1" applyBorder="1" applyAlignment="1">
      <alignment horizontal="center"/>
    </xf>
    <xf numFmtId="168" fontId="0" fillId="0" borderId="26" xfId="0" applyNumberFormat="1" applyBorder="1" applyAlignment="1">
      <alignment horizontal="center"/>
    </xf>
    <xf numFmtId="0" fontId="0" fillId="0" borderId="24" xfId="0" applyBorder="1"/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vertical="center" wrapText="1"/>
    </xf>
    <xf numFmtId="0" fontId="21" fillId="0" borderId="36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22" fillId="0" borderId="36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38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9" fillId="0" borderId="39" xfId="0" applyFont="1" applyBorder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15" fillId="0" borderId="36" xfId="0" applyFont="1" applyBorder="1" applyAlignment="1">
      <alignment horizontal="right" vertical="center" wrapText="1"/>
    </xf>
    <xf numFmtId="0" fontId="20" fillId="0" borderId="39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19" fillId="0" borderId="39" xfId="0" applyFont="1" applyBorder="1" applyAlignment="1">
      <alignment horizontal="left" vertical="center" wrapText="1"/>
    </xf>
    <xf numFmtId="0" fontId="19" fillId="0" borderId="36" xfId="0" applyFont="1" applyBorder="1" applyAlignment="1">
      <alignment vertical="center" wrapText="1"/>
    </xf>
    <xf numFmtId="0" fontId="24" fillId="0" borderId="0" xfId="0" applyFont="1" applyAlignment="1">
      <alignment horizontal="left" vertical="center" indent="4"/>
    </xf>
    <xf numFmtId="0" fontId="19" fillId="0" borderId="0" xfId="0" applyFont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0" fillId="0" borderId="41" xfId="0" applyBorder="1"/>
    <xf numFmtId="0" fontId="15" fillId="0" borderId="41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5" fillId="0" borderId="38" xfId="0" applyFont="1" applyBorder="1" applyAlignment="1">
      <alignment horizontal="right" vertical="center" wrapText="1"/>
    </xf>
    <xf numFmtId="0" fontId="15" fillId="0" borderId="43" xfId="0" applyFont="1" applyBorder="1" applyAlignment="1">
      <alignment horizontal="left" vertical="center" wrapText="1" indent="2"/>
    </xf>
    <xf numFmtId="0" fontId="15" fillId="0" borderId="38" xfId="0" applyFont="1" applyBorder="1" applyAlignment="1">
      <alignment horizontal="left" vertical="center" wrapText="1" indent="2"/>
    </xf>
    <xf numFmtId="0" fontId="0" fillId="0" borderId="42" xfId="0" applyBorder="1"/>
    <xf numFmtId="3" fontId="0" fillId="0" borderId="44" xfId="0" applyNumberFormat="1" applyBorder="1"/>
    <xf numFmtId="164" fontId="15" fillId="0" borderId="44" xfId="0" applyNumberFormat="1" applyFont="1" applyBorder="1" applyAlignment="1">
      <alignment vertical="center" wrapText="1"/>
    </xf>
    <xf numFmtId="0" fontId="15" fillId="0" borderId="41" xfId="0" applyFont="1" applyBorder="1" applyAlignment="1">
      <alignment horizontal="right" vertical="center" wrapText="1"/>
    </xf>
    <xf numFmtId="164" fontId="0" fillId="0" borderId="28" xfId="0" applyNumberFormat="1" applyBorder="1"/>
    <xf numFmtId="0" fontId="0" fillId="0" borderId="28" xfId="0" applyBorder="1"/>
    <xf numFmtId="164" fontId="0" fillId="0" borderId="13" xfId="0" applyNumberFormat="1" applyBorder="1"/>
    <xf numFmtId="0" fontId="14" fillId="0" borderId="1" xfId="0" applyFont="1" applyBorder="1"/>
    <xf numFmtId="164" fontId="14" fillId="0" borderId="19" xfId="0" applyNumberFormat="1" applyFont="1" applyBorder="1"/>
    <xf numFmtId="164" fontId="0" fillId="2" borderId="9" xfId="0" applyNumberFormat="1" applyFill="1" applyBorder="1"/>
    <xf numFmtId="0" fontId="14" fillId="0" borderId="4" xfId="0" applyFont="1" applyBorder="1"/>
    <xf numFmtId="0" fontId="26" fillId="0" borderId="0" xfId="0" applyFont="1"/>
    <xf numFmtId="0" fontId="14" fillId="0" borderId="18" xfId="0" applyFont="1" applyBorder="1"/>
    <xf numFmtId="164" fontId="1" fillId="0" borderId="26" xfId="1" applyNumberFormat="1" applyBorder="1" applyAlignment="1">
      <alignment horizontal="right"/>
    </xf>
    <xf numFmtId="164" fontId="0" fillId="0" borderId="26" xfId="0" applyNumberFormat="1" applyBorder="1"/>
    <xf numFmtId="164" fontId="0" fillId="0" borderId="18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5" fontId="9" fillId="0" borderId="0" xfId="1" applyNumberFormat="1" applyFont="1" applyBorder="1" applyAlignment="1">
      <alignment horizontal="center"/>
    </xf>
    <xf numFmtId="0" fontId="14" fillId="0" borderId="29" xfId="0" applyFont="1" applyBorder="1"/>
    <xf numFmtId="0" fontId="14" fillId="0" borderId="30" xfId="0" applyFont="1" applyBorder="1"/>
    <xf numFmtId="164" fontId="0" fillId="0" borderId="31" xfId="0" applyNumberFormat="1" applyBorder="1" applyAlignment="1">
      <alignment horizontal="center" vertical="center"/>
    </xf>
    <xf numFmtId="5" fontId="14" fillId="0" borderId="26" xfId="1" applyNumberFormat="1" applyFont="1" applyBorder="1" applyAlignment="1">
      <alignment horizontal="center" vertical="center"/>
    </xf>
    <xf numFmtId="5" fontId="0" fillId="0" borderId="26" xfId="1" applyNumberFormat="1" applyFont="1" applyBorder="1" applyAlignment="1">
      <alignment horizontal="center" vertical="center"/>
    </xf>
    <xf numFmtId="5" fontId="0" fillId="0" borderId="29" xfId="1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8" xfId="0" applyNumberFormat="1" applyBorder="1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6" fontId="0" fillId="0" borderId="0" xfId="0" applyNumberFormat="1"/>
    <xf numFmtId="0" fontId="14" fillId="0" borderId="16" xfId="0" applyFont="1" applyBorder="1"/>
    <xf numFmtId="3" fontId="0" fillId="0" borderId="7" xfId="0" applyNumberFormat="1" applyBorder="1" applyAlignment="1">
      <alignment horizontal="right"/>
    </xf>
    <xf numFmtId="0" fontId="14" fillId="0" borderId="21" xfId="0" applyFont="1" applyBorder="1"/>
    <xf numFmtId="0" fontId="14" fillId="0" borderId="17" xfId="0" applyFont="1" applyBorder="1" applyAlignment="1">
      <alignment horizontal="center" vertical="center"/>
    </xf>
    <xf numFmtId="164" fontId="0" fillId="0" borderId="19" xfId="0" applyNumberFormat="1" applyBorder="1" applyAlignment="1">
      <alignment horizontal="right"/>
    </xf>
    <xf numFmtId="0" fontId="14" fillId="0" borderId="19" xfId="0" applyFont="1" applyBorder="1" applyAlignment="1">
      <alignment horizontal="center" vertical="center"/>
    </xf>
    <xf numFmtId="164" fontId="0" fillId="0" borderId="20" xfId="0" applyNumberFormat="1" applyBorder="1"/>
    <xf numFmtId="165" fontId="15" fillId="0" borderId="36" xfId="0" applyNumberFormat="1" applyFont="1" applyBorder="1" applyAlignment="1">
      <alignment vertical="center" wrapText="1"/>
    </xf>
    <xf numFmtId="164" fontId="15" fillId="0" borderId="36" xfId="0" applyNumberFormat="1" applyFont="1" applyBorder="1" applyAlignment="1">
      <alignment vertical="center" wrapText="1"/>
    </xf>
    <xf numFmtId="0" fontId="9" fillId="0" borderId="0" xfId="0" applyFont="1"/>
    <xf numFmtId="5" fontId="14" fillId="0" borderId="0" xfId="0" applyNumberFormat="1" applyFont="1"/>
    <xf numFmtId="164" fontId="14" fillId="0" borderId="0" xfId="0" applyNumberFormat="1" applyFont="1"/>
    <xf numFmtId="8" fontId="0" fillId="0" borderId="0" xfId="0" applyNumberFormat="1"/>
    <xf numFmtId="8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" fontId="6" fillId="0" borderId="0" xfId="0" applyNumberFormat="1" applyFont="1"/>
    <xf numFmtId="0" fontId="14" fillId="4" borderId="16" xfId="0" applyFont="1" applyFill="1" applyBorder="1"/>
    <xf numFmtId="5" fontId="14" fillId="0" borderId="7" xfId="0" applyNumberFormat="1" applyFont="1" applyBorder="1"/>
    <xf numFmtId="0" fontId="14" fillId="0" borderId="7" xfId="0" applyFont="1" applyBorder="1" applyAlignment="1">
      <alignment horizontal="center" vertical="center"/>
    </xf>
    <xf numFmtId="164" fontId="0" fillId="0" borderId="17" xfId="0" applyNumberFormat="1" applyBorder="1"/>
    <xf numFmtId="0" fontId="14" fillId="4" borderId="18" xfId="0" applyFont="1" applyFill="1" applyBorder="1"/>
    <xf numFmtId="0" fontId="14" fillId="0" borderId="9" xfId="0" applyFont="1" applyBorder="1" applyAlignment="1">
      <alignment horizontal="center" vertical="center"/>
    </xf>
    <xf numFmtId="14" fontId="0" fillId="0" borderId="0" xfId="0" applyNumberFormat="1"/>
    <xf numFmtId="44" fontId="0" fillId="0" borderId="2" xfId="0" applyNumberFormat="1" applyBorder="1"/>
    <xf numFmtId="44" fontId="0" fillId="0" borderId="3" xfId="0" applyNumberFormat="1" applyBorder="1"/>
    <xf numFmtId="164" fontId="0" fillId="0" borderId="4" xfId="0" applyNumberFormat="1" applyBorder="1"/>
    <xf numFmtId="44" fontId="0" fillId="0" borderId="0" xfId="0" applyNumberFormat="1"/>
    <xf numFmtId="44" fontId="0" fillId="0" borderId="5" xfId="0" applyNumberFormat="1" applyBorder="1"/>
    <xf numFmtId="164" fontId="0" fillId="0" borderId="10" xfId="0" applyNumberFormat="1" applyBorder="1"/>
    <xf numFmtId="0" fontId="0" fillId="0" borderId="11" xfId="0" applyBorder="1"/>
    <xf numFmtId="0" fontId="14" fillId="0" borderId="11" xfId="0" applyFont="1" applyBorder="1"/>
    <xf numFmtId="44" fontId="0" fillId="0" borderId="11" xfId="0" applyNumberFormat="1" applyBorder="1"/>
    <xf numFmtId="44" fontId="0" fillId="0" borderId="14" xfId="0" applyNumberFormat="1" applyBorder="1"/>
    <xf numFmtId="164" fontId="0" fillId="5" borderId="4" xfId="0" applyNumberFormat="1" applyFill="1" applyBorder="1"/>
    <xf numFmtId="0" fontId="0" fillId="5" borderId="0" xfId="0" applyFill="1"/>
    <xf numFmtId="0" fontId="0" fillId="0" borderId="0" xfId="0" applyAlignment="1">
      <alignment horizontal="right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2" fillId="0" borderId="0" xfId="0" applyFont="1"/>
    <xf numFmtId="167" fontId="0" fillId="0" borderId="0" xfId="0" applyNumberFormat="1"/>
    <xf numFmtId="167" fontId="0" fillId="0" borderId="0" xfId="0" applyNumberFormat="1" applyAlignment="1">
      <alignment horizontal="center" vertical="center"/>
    </xf>
    <xf numFmtId="169" fontId="0" fillId="3" borderId="0" xfId="0" applyNumberFormat="1" applyFill="1"/>
    <xf numFmtId="0" fontId="12" fillId="0" borderId="0" xfId="0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2" fillId="0" borderId="23" xfId="0" applyFont="1" applyBorder="1" applyAlignment="1">
      <alignment horizontal="left"/>
    </xf>
    <xf numFmtId="0" fontId="12" fillId="0" borderId="9" xfId="0" applyFont="1" applyBorder="1"/>
    <xf numFmtId="0" fontId="12" fillId="0" borderId="23" xfId="0" applyFont="1" applyBorder="1"/>
    <xf numFmtId="0" fontId="9" fillId="0" borderId="25" xfId="0" applyFont="1" applyBorder="1"/>
    <xf numFmtId="164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4" fillId="0" borderId="1" xfId="0" applyNumberFormat="1" applyFont="1" applyBorder="1" applyAlignment="1">
      <alignment horizontal="right"/>
    </xf>
    <xf numFmtId="164" fontId="14" fillId="0" borderId="2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5" fontId="1" fillId="0" borderId="0" xfId="1" applyNumberFormat="1" applyFill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2" borderId="34" xfId="0" applyNumberFormat="1" applyFill="1" applyBorder="1" applyAlignment="1">
      <alignment horizontal="center"/>
    </xf>
    <xf numFmtId="164" fontId="0" fillId="2" borderId="35" xfId="0" applyNumberForma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5" fillId="0" borderId="41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8" fillId="0" borderId="39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4" fillId="0" borderId="23" xfId="0" applyFont="1" applyBorder="1" applyAlignment="1">
      <alignment horizontal="center"/>
    </xf>
    <xf numFmtId="165" fontId="14" fillId="0" borderId="9" xfId="0" applyNumberFormat="1" applyFont="1" applyBorder="1" applyAlignment="1">
      <alignment horizontal="center"/>
    </xf>
    <xf numFmtId="165" fontId="14" fillId="0" borderId="23" xfId="0" applyNumberFormat="1" applyFont="1" applyBorder="1" applyAlignment="1">
      <alignment horizontal="center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opLeftCell="A30" zoomScaleNormal="100" zoomScaleSheetLayoutView="100" workbookViewId="0">
      <selection activeCell="C57" sqref="C57"/>
    </sheetView>
  </sheetViews>
  <sheetFormatPr baseColWidth="10" defaultColWidth="12.5" defaultRowHeight="13" x14ac:dyDescent="0.15"/>
  <cols>
    <col min="1" max="1" width="15.1640625" customWidth="1"/>
    <col min="2" max="3" width="13.6640625" customWidth="1"/>
    <col min="4" max="4" width="2" customWidth="1"/>
    <col min="5" max="5" width="22" customWidth="1"/>
    <col min="6" max="6" width="4" customWidth="1"/>
    <col min="7" max="7" width="10.6640625" customWidth="1"/>
    <col min="8" max="8" width="4.5" customWidth="1"/>
    <col min="9" max="9" width="9.33203125" customWidth="1"/>
    <col min="10" max="10" width="6.5" customWidth="1"/>
    <col min="11" max="11" width="6.6640625" customWidth="1"/>
    <col min="17" max="17" width="13.5" customWidth="1"/>
  </cols>
  <sheetData>
    <row r="1" spans="1:17" ht="14" thickBot="1" x14ac:dyDescent="0.2">
      <c r="A1" s="1" t="s">
        <v>0</v>
      </c>
      <c r="E1" s="1" t="s">
        <v>212</v>
      </c>
      <c r="F1" s="188" t="s">
        <v>2</v>
      </c>
      <c r="G1" s="188"/>
      <c r="H1" s="22"/>
      <c r="I1" s="144" t="s">
        <v>299</v>
      </c>
      <c r="L1" s="170">
        <v>2017</v>
      </c>
      <c r="M1" s="170">
        <v>2018</v>
      </c>
      <c r="O1" s="171" t="s">
        <v>90</v>
      </c>
      <c r="P1" s="171" t="s">
        <v>91</v>
      </c>
      <c r="Q1" s="171" t="s">
        <v>304</v>
      </c>
    </row>
    <row r="2" spans="1:17" x14ac:dyDescent="0.15">
      <c r="A2" s="2" t="s">
        <v>3</v>
      </c>
      <c r="B2" s="3">
        <f>C3</f>
        <v>3490.7196399999998</v>
      </c>
      <c r="C2" s="16" t="s">
        <v>4</v>
      </c>
      <c r="E2" s="110" t="s">
        <v>45</v>
      </c>
      <c r="F2" s="189">
        <f>SUM(B26)</f>
        <v>2507.66796850832</v>
      </c>
      <c r="G2" s="190"/>
      <c r="H2" s="5"/>
      <c r="I2" s="191" t="s">
        <v>300</v>
      </c>
      <c r="J2" s="192"/>
      <c r="K2" s="192"/>
      <c r="L2" s="158">
        <v>156.9</v>
      </c>
      <c r="M2" s="159">
        <v>168.49</v>
      </c>
      <c r="N2">
        <v>1</v>
      </c>
      <c r="O2" s="172">
        <v>2004</v>
      </c>
      <c r="P2" s="131">
        <v>29</v>
      </c>
      <c r="Q2" s="131">
        <v>0</v>
      </c>
    </row>
    <row r="3" spans="1:17" x14ac:dyDescent="0.15">
      <c r="A3" s="6" t="s">
        <v>6</v>
      </c>
      <c r="B3" s="5">
        <f>SUM(C6+C7)</f>
        <v>3450</v>
      </c>
      <c r="C3" s="107">
        <f>C54*2</f>
        <v>3490.7196399999998</v>
      </c>
      <c r="E3" s="113" t="s">
        <v>267</v>
      </c>
      <c r="F3" s="187">
        <f>C41/42</f>
        <v>618.95238095238096</v>
      </c>
      <c r="G3" s="187"/>
      <c r="H3" s="5"/>
      <c r="I3" s="168"/>
      <c r="J3" s="169"/>
      <c r="K3" s="169"/>
      <c r="L3" s="161">
        <f>L2*12</f>
        <v>1882.8000000000002</v>
      </c>
      <c r="M3" s="162">
        <f>M2*12</f>
        <v>2021.88</v>
      </c>
      <c r="N3">
        <v>2</v>
      </c>
      <c r="O3" s="172">
        <v>2005</v>
      </c>
      <c r="P3" s="131">
        <v>30</v>
      </c>
      <c r="Q3" s="131">
        <v>1</v>
      </c>
    </row>
    <row r="4" spans="1:17" x14ac:dyDescent="0.15">
      <c r="A4" s="113" t="s">
        <v>228</v>
      </c>
      <c r="B4" s="5" t="e">
        <f>I36</f>
        <v>#REF!</v>
      </c>
      <c r="C4" s="107" t="e">
        <f>B4</f>
        <v>#REF!</v>
      </c>
      <c r="E4" s="113" t="s">
        <v>231</v>
      </c>
      <c r="F4" s="187">
        <v>0</v>
      </c>
      <c r="G4" s="187"/>
      <c r="H4" s="5"/>
      <c r="I4" s="193" t="s">
        <v>301</v>
      </c>
      <c r="J4" s="194"/>
      <c r="K4" s="194"/>
      <c r="L4" s="161">
        <v>300</v>
      </c>
      <c r="M4" s="162">
        <v>332</v>
      </c>
      <c r="N4">
        <v>3</v>
      </c>
      <c r="O4" s="172">
        <v>2006</v>
      </c>
      <c r="P4" s="131">
        <v>31</v>
      </c>
      <c r="Q4" s="131">
        <v>2</v>
      </c>
    </row>
    <row r="5" spans="1:17" x14ac:dyDescent="0.15">
      <c r="A5" s="8" t="s">
        <v>7</v>
      </c>
      <c r="B5" s="9" t="e">
        <f>SUM(B2:B4)</f>
        <v>#REF!</v>
      </c>
      <c r="C5" s="108" t="s">
        <v>8</v>
      </c>
      <c r="E5" s="6" t="s">
        <v>10</v>
      </c>
      <c r="F5" s="187">
        <v>220</v>
      </c>
      <c r="G5" s="187"/>
      <c r="H5" s="5"/>
      <c r="I5" s="168"/>
      <c r="J5" s="169"/>
      <c r="K5" s="169"/>
      <c r="L5" s="161">
        <f>L4*4</f>
        <v>1200</v>
      </c>
      <c r="M5" s="162">
        <f>M4*4</f>
        <v>1328</v>
      </c>
      <c r="N5">
        <v>4</v>
      </c>
      <c r="O5" s="172">
        <v>2007</v>
      </c>
      <c r="P5" s="131">
        <v>32</v>
      </c>
      <c r="Q5" s="131">
        <v>3</v>
      </c>
    </row>
    <row r="6" spans="1:17" x14ac:dyDescent="0.15">
      <c r="A6" s="10" t="s">
        <v>9</v>
      </c>
      <c r="B6" s="11">
        <v>0</v>
      </c>
      <c r="C6" s="107">
        <v>1725</v>
      </c>
      <c r="E6" s="6" t="s">
        <v>15</v>
      </c>
      <c r="F6" s="187">
        <v>230</v>
      </c>
      <c r="G6" s="187"/>
      <c r="H6" s="5"/>
      <c r="I6" s="193" t="s">
        <v>302</v>
      </c>
      <c r="J6" s="194"/>
      <c r="K6" s="194"/>
      <c r="L6" s="161">
        <v>86</v>
      </c>
      <c r="M6" s="162">
        <v>86</v>
      </c>
      <c r="N6">
        <v>5</v>
      </c>
      <c r="O6" s="173">
        <v>2008</v>
      </c>
      <c r="P6" s="131">
        <v>33</v>
      </c>
      <c r="Q6" s="131">
        <v>4</v>
      </c>
    </row>
    <row r="7" spans="1:17" ht="14" thickBot="1" x14ac:dyDescent="0.2">
      <c r="A7" s="12"/>
      <c r="B7" s="13" t="e">
        <f>SUM(B5:B6)</f>
        <v>#REF!</v>
      </c>
      <c r="C7" s="109">
        <v>1725</v>
      </c>
      <c r="E7" s="6" t="s">
        <v>16</v>
      </c>
      <c r="F7" s="187">
        <v>35</v>
      </c>
      <c r="G7" s="187"/>
      <c r="H7" s="5"/>
      <c r="I7" s="168"/>
      <c r="J7" s="169"/>
      <c r="K7" s="169"/>
      <c r="L7" s="161">
        <f>L6*4</f>
        <v>344</v>
      </c>
      <c r="M7" s="162">
        <f>M6*4</f>
        <v>344</v>
      </c>
      <c r="N7">
        <v>6</v>
      </c>
      <c r="O7" s="173">
        <v>2009</v>
      </c>
      <c r="P7" s="131">
        <v>34</v>
      </c>
      <c r="Q7" s="131">
        <v>5</v>
      </c>
    </row>
    <row r="8" spans="1:17" x14ac:dyDescent="0.15">
      <c r="A8" s="14" t="s">
        <v>11</v>
      </c>
      <c r="B8" s="15" t="e">
        <f>SUM((C3+C4)*12)</f>
        <v>#REF!</v>
      </c>
      <c r="C8" s="16" t="s">
        <v>12</v>
      </c>
      <c r="E8" s="6" t="s">
        <v>19</v>
      </c>
      <c r="F8" s="187">
        <v>65</v>
      </c>
      <c r="G8" s="187"/>
      <c r="H8" s="5"/>
      <c r="I8" s="160"/>
      <c r="J8" s="5"/>
      <c r="K8" s="57" t="s">
        <v>303</v>
      </c>
      <c r="L8" s="161">
        <f>L2+(L4/3)+(L6/3)</f>
        <v>285.56666666666666</v>
      </c>
      <c r="M8" s="162">
        <f>M2+(M4/3)+(M6/3)</f>
        <v>307.82333333333338</v>
      </c>
      <c r="N8">
        <v>7</v>
      </c>
      <c r="O8" s="174">
        <v>2010</v>
      </c>
      <c r="P8" s="131">
        <v>35</v>
      </c>
      <c r="Q8" s="131">
        <v>6</v>
      </c>
    </row>
    <row r="9" spans="1:17" ht="14" thickBot="1" x14ac:dyDescent="0.2">
      <c r="A9" t="s">
        <v>14</v>
      </c>
      <c r="B9" s="15">
        <f>SUM(B3*12)</f>
        <v>41400</v>
      </c>
      <c r="C9" s="17" t="e">
        <f>SUM(B7*12)</f>
        <v>#REF!</v>
      </c>
      <c r="E9" s="6" t="s">
        <v>21</v>
      </c>
      <c r="F9" s="187">
        <f>90/3</f>
        <v>30</v>
      </c>
      <c r="G9" s="187"/>
      <c r="H9" s="5"/>
      <c r="I9" s="163"/>
      <c r="J9" s="164"/>
      <c r="K9" s="165" t="s">
        <v>90</v>
      </c>
      <c r="L9" s="166">
        <f>L3+L5+L7</f>
        <v>3426.8</v>
      </c>
      <c r="M9" s="167">
        <f>M3+M5+M7</f>
        <v>3693.88</v>
      </c>
      <c r="N9">
        <v>8</v>
      </c>
      <c r="O9" s="173">
        <v>2011</v>
      </c>
      <c r="P9" s="131">
        <v>36</v>
      </c>
      <c r="Q9" s="131">
        <v>7</v>
      </c>
    </row>
    <row r="10" spans="1:17" ht="14" thickBot="1" x14ac:dyDescent="0.2">
      <c r="A10" s="1" t="s">
        <v>43</v>
      </c>
      <c r="E10" s="6" t="s">
        <v>24</v>
      </c>
      <c r="F10" s="187">
        <v>500</v>
      </c>
      <c r="G10" s="187"/>
      <c r="H10" s="5"/>
      <c r="I10" s="18">
        <v>40</v>
      </c>
      <c r="N10">
        <v>9</v>
      </c>
      <c r="O10" s="173">
        <v>2012</v>
      </c>
      <c r="P10" s="131">
        <v>37</v>
      </c>
      <c r="Q10" s="131">
        <v>8</v>
      </c>
    </row>
    <row r="11" spans="1:17" x14ac:dyDescent="0.15">
      <c r="A11" s="2" t="s">
        <v>17</v>
      </c>
      <c r="B11" s="3">
        <v>364900</v>
      </c>
      <c r="C11" s="4" t="s">
        <v>18</v>
      </c>
      <c r="E11" s="6" t="s">
        <v>26</v>
      </c>
      <c r="F11" s="187">
        <v>153.85</v>
      </c>
      <c r="G11" s="187"/>
      <c r="H11" s="5"/>
      <c r="I11" s="18">
        <f>SUM(I10*4.5)</f>
        <v>180</v>
      </c>
      <c r="N11">
        <v>10</v>
      </c>
      <c r="O11" s="173">
        <v>2013</v>
      </c>
      <c r="P11" s="131">
        <v>38</v>
      </c>
      <c r="Q11" s="131">
        <v>9</v>
      </c>
    </row>
    <row r="12" spans="1:17" x14ac:dyDescent="0.15">
      <c r="A12" s="6" t="s">
        <v>44</v>
      </c>
      <c r="B12" s="5">
        <v>229350</v>
      </c>
      <c r="C12" s="7"/>
      <c r="E12" s="6" t="s">
        <v>46</v>
      </c>
      <c r="F12" s="187">
        <v>23.21</v>
      </c>
      <c r="G12" s="187"/>
      <c r="H12" s="5"/>
      <c r="I12" s="18"/>
      <c r="K12" s="5"/>
      <c r="N12">
        <v>11</v>
      </c>
      <c r="O12" s="173">
        <v>2014</v>
      </c>
      <c r="P12" s="131">
        <v>39</v>
      </c>
      <c r="Q12" s="131">
        <v>10</v>
      </c>
    </row>
    <row r="13" spans="1:17" x14ac:dyDescent="0.15">
      <c r="A13" s="6" t="s">
        <v>20</v>
      </c>
      <c r="B13" s="5">
        <f>SUM(B12*0.9-25000)</f>
        <v>181415</v>
      </c>
      <c r="C13" s="7">
        <v>2745</v>
      </c>
      <c r="E13" s="6" t="s">
        <v>30</v>
      </c>
      <c r="F13" s="187">
        <v>15.93</v>
      </c>
      <c r="G13" s="187"/>
      <c r="H13" s="5"/>
      <c r="I13" s="18">
        <v>50</v>
      </c>
      <c r="K13" s="5"/>
      <c r="N13">
        <v>12</v>
      </c>
      <c r="O13" s="175">
        <v>2015</v>
      </c>
      <c r="P13" s="131">
        <v>40</v>
      </c>
      <c r="Q13" s="131">
        <v>11</v>
      </c>
    </row>
    <row r="14" spans="1:17" x14ac:dyDescent="0.15">
      <c r="A14" s="6" t="s">
        <v>22</v>
      </c>
      <c r="B14" s="19">
        <v>2.6800000000000001E-2</v>
      </c>
      <c r="C14" s="7" t="s">
        <v>23</v>
      </c>
      <c r="E14" s="6" t="s">
        <v>33</v>
      </c>
      <c r="F14" s="187">
        <v>184</v>
      </c>
      <c r="G14" s="187"/>
      <c r="H14" s="5"/>
      <c r="I14" s="18">
        <f>SUM(I13*4.5)</f>
        <v>225</v>
      </c>
      <c r="K14" s="5"/>
      <c r="N14">
        <v>13</v>
      </c>
      <c r="O14" s="176">
        <v>2016</v>
      </c>
      <c r="P14" s="131">
        <v>41</v>
      </c>
      <c r="Q14" s="131">
        <v>12</v>
      </c>
    </row>
    <row r="15" spans="1:17" x14ac:dyDescent="0.15">
      <c r="A15" s="6" t="s">
        <v>25</v>
      </c>
      <c r="B15" s="5">
        <f>SUM(B13*B14)</f>
        <v>4861.9220000000005</v>
      </c>
      <c r="C15" s="7">
        <v>3378</v>
      </c>
      <c r="E15" s="6" t="s">
        <v>34</v>
      </c>
      <c r="F15" s="187">
        <f>SUM(481/12)</f>
        <v>40.083333333333336</v>
      </c>
      <c r="G15" s="187"/>
      <c r="H15" s="5"/>
      <c r="I15" s="18">
        <f>SUM(I14+I11)</f>
        <v>405</v>
      </c>
      <c r="K15" s="5"/>
      <c r="N15">
        <v>14</v>
      </c>
      <c r="O15" s="176">
        <v>2017</v>
      </c>
      <c r="P15" s="131">
        <v>42</v>
      </c>
      <c r="Q15" s="131">
        <v>13</v>
      </c>
    </row>
    <row r="16" spans="1:17" x14ac:dyDescent="0.15">
      <c r="A16" s="6" t="s">
        <v>27</v>
      </c>
      <c r="B16" s="5">
        <v>3466.44</v>
      </c>
      <c r="C16" s="7" t="s">
        <v>28</v>
      </c>
      <c r="D16" s="15"/>
      <c r="E16" s="6" t="s">
        <v>35</v>
      </c>
      <c r="F16" s="187">
        <v>17.57</v>
      </c>
      <c r="G16" s="187"/>
      <c r="H16" s="5"/>
      <c r="I16" s="5"/>
      <c r="K16" s="5"/>
      <c r="N16">
        <v>15</v>
      </c>
      <c r="O16" s="176">
        <v>2018</v>
      </c>
      <c r="P16" s="131">
        <v>43</v>
      </c>
      <c r="Q16" s="131">
        <v>14</v>
      </c>
    </row>
    <row r="17" spans="1:17" x14ac:dyDescent="0.15">
      <c r="A17" s="6" t="s">
        <v>29</v>
      </c>
      <c r="B17" s="5">
        <v>176915.76</v>
      </c>
      <c r="C17" s="20">
        <f>SUM(B11/C13)</f>
        <v>132.93260473588342</v>
      </c>
      <c r="E17" s="6" t="s">
        <v>233</v>
      </c>
      <c r="F17" s="187">
        <f>1400/24</f>
        <v>58.333333333333336</v>
      </c>
      <c r="G17" s="187"/>
      <c r="H17" s="5"/>
      <c r="I17" s="5"/>
      <c r="K17" s="5"/>
      <c r="N17">
        <v>16</v>
      </c>
      <c r="O17" s="176">
        <v>2019</v>
      </c>
      <c r="P17" s="131">
        <v>44</v>
      </c>
      <c r="Q17" s="131">
        <v>15</v>
      </c>
    </row>
    <row r="18" spans="1:17" x14ac:dyDescent="0.15">
      <c r="A18" s="6" t="s">
        <v>31</v>
      </c>
      <c r="B18" s="50">
        <v>3.7499999999999999E-2</v>
      </c>
      <c r="C18" s="7" t="s">
        <v>32</v>
      </c>
      <c r="D18" s="15"/>
      <c r="E18" s="6"/>
      <c r="F18" s="187"/>
      <c r="G18" s="187"/>
      <c r="H18" s="5"/>
      <c r="I18" s="5"/>
      <c r="K18" s="5"/>
      <c r="N18">
        <v>17</v>
      </c>
      <c r="O18" s="176">
        <v>2020</v>
      </c>
      <c r="P18" s="131">
        <v>45</v>
      </c>
      <c r="Q18" s="131">
        <v>16</v>
      </c>
    </row>
    <row r="19" spans="1:17" ht="14" thickBot="1" x14ac:dyDescent="0.2">
      <c r="A19" s="12"/>
      <c r="B19" s="13"/>
      <c r="C19" s="21">
        <f>SUM(B11/C15)</f>
        <v>108.02249851983422</v>
      </c>
      <c r="E19" s="6" t="s">
        <v>39</v>
      </c>
      <c r="F19" s="187">
        <v>2000</v>
      </c>
      <c r="G19" s="187"/>
      <c r="H19" s="5"/>
      <c r="I19" s="5"/>
      <c r="J19" s="5"/>
      <c r="K19" s="5"/>
      <c r="N19">
        <v>18</v>
      </c>
      <c r="O19" s="176">
        <v>2021</v>
      </c>
      <c r="P19" s="131">
        <v>46</v>
      </c>
      <c r="Q19" s="131">
        <v>17</v>
      </c>
    </row>
    <row r="20" spans="1:17" x14ac:dyDescent="0.15">
      <c r="A20" s="35" t="s">
        <v>45</v>
      </c>
      <c r="E20" s="6" t="s">
        <v>40</v>
      </c>
      <c r="F20" s="187">
        <v>100</v>
      </c>
      <c r="G20" s="187"/>
      <c r="H20" s="5"/>
      <c r="I20" s="5"/>
      <c r="J20" s="5"/>
      <c r="K20" s="5"/>
      <c r="N20">
        <v>19</v>
      </c>
      <c r="O20" s="176">
        <v>2022</v>
      </c>
      <c r="P20" s="131">
        <v>47</v>
      </c>
      <c r="Q20" s="131">
        <v>18</v>
      </c>
    </row>
    <row r="21" spans="1:17" x14ac:dyDescent="0.15">
      <c r="A21" s="28" t="s">
        <v>36</v>
      </c>
      <c r="B21" s="9">
        <f>SUM(B17*((B18/12)*(1+(B18/12))^360)/((1+(B18/12))^360-1))+68.49</f>
        <v>887.81446850831981</v>
      </c>
      <c r="C21" s="32"/>
      <c r="E21" s="6" t="s">
        <v>234</v>
      </c>
      <c r="F21" s="187">
        <v>14.95</v>
      </c>
      <c r="G21" s="187"/>
      <c r="H21" s="5"/>
      <c r="I21" s="5"/>
      <c r="K21" s="5"/>
      <c r="N21">
        <v>20</v>
      </c>
      <c r="O21" s="176">
        <v>2023</v>
      </c>
      <c r="P21" s="131">
        <v>48</v>
      </c>
      <c r="Q21" s="131">
        <v>19</v>
      </c>
    </row>
    <row r="22" spans="1:17" x14ac:dyDescent="0.15">
      <c r="A22" s="29" t="s">
        <v>37</v>
      </c>
      <c r="B22" s="5">
        <f>SUM(B15/12)</f>
        <v>405.16016666666673</v>
      </c>
      <c r="C22" s="31"/>
      <c r="E22" s="113" t="s">
        <v>298</v>
      </c>
      <c r="F22" s="187">
        <f>C31*2</f>
        <v>598.33333333333337</v>
      </c>
      <c r="G22" s="187"/>
      <c r="H22" s="5"/>
      <c r="I22" s="5"/>
      <c r="K22" s="5"/>
      <c r="N22">
        <v>21</v>
      </c>
      <c r="O22" s="176">
        <v>2024</v>
      </c>
      <c r="P22" s="131">
        <v>49</v>
      </c>
      <c r="Q22" s="131">
        <v>20</v>
      </c>
    </row>
    <row r="23" spans="1:17" x14ac:dyDescent="0.15">
      <c r="A23" s="29" t="s">
        <v>38</v>
      </c>
      <c r="B23" s="5">
        <f>B16/12</f>
        <v>288.87</v>
      </c>
      <c r="C23" s="111"/>
      <c r="E23" s="113" t="s">
        <v>211</v>
      </c>
      <c r="F23" s="187">
        <v>1000</v>
      </c>
      <c r="G23" s="187"/>
      <c r="H23" s="5"/>
      <c r="I23" s="5"/>
      <c r="K23" s="5"/>
      <c r="N23">
        <v>22</v>
      </c>
      <c r="O23" s="176">
        <v>2025</v>
      </c>
      <c r="P23" s="131">
        <v>50</v>
      </c>
      <c r="Q23" s="131">
        <v>21</v>
      </c>
    </row>
    <row r="24" spans="1:17" x14ac:dyDescent="0.15">
      <c r="A24" s="29" t="s">
        <v>13</v>
      </c>
      <c r="B24" s="5">
        <f>M8</f>
        <v>307.82333333333338</v>
      </c>
      <c r="C24" s="33"/>
      <c r="E24" s="113"/>
      <c r="F24" s="129"/>
      <c r="G24" s="128"/>
      <c r="H24" s="5"/>
      <c r="I24" s="5"/>
      <c r="K24" s="5"/>
      <c r="N24">
        <v>23</v>
      </c>
      <c r="O24" s="176">
        <v>2026</v>
      </c>
      <c r="P24" s="131">
        <v>51</v>
      </c>
      <c r="Q24" s="131">
        <v>22</v>
      </c>
    </row>
    <row r="25" spans="1:17" ht="14" thickBot="1" x14ac:dyDescent="0.2">
      <c r="A25" s="29" t="s">
        <v>235</v>
      </c>
      <c r="B25" s="5">
        <v>618</v>
      </c>
      <c r="C25" s="33"/>
      <c r="E25" s="6"/>
      <c r="F25" s="198"/>
      <c r="G25" s="199"/>
      <c r="H25" s="5"/>
      <c r="I25" s="5"/>
      <c r="K25" s="5"/>
      <c r="N25">
        <v>24</v>
      </c>
      <c r="O25" s="176">
        <v>2027</v>
      </c>
      <c r="P25" s="131">
        <v>52</v>
      </c>
      <c r="Q25" s="131">
        <v>23</v>
      </c>
    </row>
    <row r="26" spans="1:17" ht="15" thickTop="1" thickBot="1" x14ac:dyDescent="0.2">
      <c r="A26" s="30" t="s">
        <v>7</v>
      </c>
      <c r="B26" s="112">
        <f>SUM(B21:B25)</f>
        <v>2507.66796850832</v>
      </c>
      <c r="C26" s="34"/>
      <c r="E26" s="23" t="s">
        <v>7</v>
      </c>
      <c r="F26" s="200">
        <f>SUM(F2:F25)</f>
        <v>8412.8803494607</v>
      </c>
      <c r="G26" s="201"/>
      <c r="H26" s="5"/>
      <c r="I26" s="5"/>
      <c r="N26">
        <v>25</v>
      </c>
      <c r="O26" s="176">
        <v>2028</v>
      </c>
      <c r="P26" s="131">
        <v>53</v>
      </c>
      <c r="Q26" s="131">
        <v>24</v>
      </c>
    </row>
    <row r="27" spans="1:17" x14ac:dyDescent="0.15">
      <c r="I27" s="5"/>
      <c r="N27">
        <v>26</v>
      </c>
      <c r="O27" s="176">
        <v>2029</v>
      </c>
      <c r="P27" s="131">
        <v>54</v>
      </c>
      <c r="Q27" s="131">
        <v>25</v>
      </c>
    </row>
    <row r="28" spans="1:17" x14ac:dyDescent="0.15">
      <c r="A28" s="36" t="s">
        <v>297</v>
      </c>
      <c r="E28" s="24" t="s">
        <v>41</v>
      </c>
      <c r="F28" s="202" t="e">
        <f>SUM(B7-F26)</f>
        <v>#REF!</v>
      </c>
      <c r="G28" s="202"/>
      <c r="H28" s="25"/>
      <c r="N28">
        <v>27</v>
      </c>
      <c r="O28" s="176">
        <v>2030</v>
      </c>
      <c r="P28" s="131">
        <v>55</v>
      </c>
      <c r="Q28" s="131">
        <v>26</v>
      </c>
    </row>
    <row r="29" spans="1:17" x14ac:dyDescent="0.15">
      <c r="B29" s="22" t="s">
        <v>52</v>
      </c>
      <c r="C29" s="22" t="s">
        <v>51</v>
      </c>
      <c r="E29" s="1"/>
      <c r="I29" s="5"/>
      <c r="N29">
        <v>28</v>
      </c>
      <c r="O29" s="176">
        <v>2031</v>
      </c>
      <c r="P29" s="131">
        <v>56</v>
      </c>
      <c r="Q29" s="131">
        <v>27</v>
      </c>
    </row>
    <row r="30" spans="1:17" x14ac:dyDescent="0.15">
      <c r="A30" s="42" t="s">
        <v>61</v>
      </c>
      <c r="B30" s="43"/>
      <c r="C30" s="39"/>
      <c r="E30" t="s">
        <v>232</v>
      </c>
      <c r="F30" s="203">
        <v>1318</v>
      </c>
      <c r="G30" s="203"/>
      <c r="H30" s="5"/>
      <c r="I30" s="5"/>
      <c r="N30">
        <v>29</v>
      </c>
      <c r="O30" s="176">
        <v>2032</v>
      </c>
      <c r="P30" s="131">
        <v>57</v>
      </c>
      <c r="Q30" s="131">
        <v>28</v>
      </c>
    </row>
    <row r="31" spans="1:17" x14ac:dyDescent="0.15">
      <c r="A31" s="44">
        <v>0.1</v>
      </c>
      <c r="B31" s="15">
        <f>B45*A31</f>
        <v>7180</v>
      </c>
      <c r="C31" s="40">
        <f>B31/24</f>
        <v>299.16666666666669</v>
      </c>
      <c r="E31" s="114"/>
      <c r="F31" s="150"/>
      <c r="G31" s="27"/>
      <c r="H31" s="27"/>
      <c r="N31">
        <v>30</v>
      </c>
      <c r="O31" s="176">
        <v>2033</v>
      </c>
      <c r="P31" s="131">
        <v>58</v>
      </c>
      <c r="Q31" s="131">
        <v>29</v>
      </c>
    </row>
    <row r="32" spans="1:17" x14ac:dyDescent="0.15">
      <c r="A32" s="29" t="s">
        <v>58</v>
      </c>
      <c r="B32" s="15">
        <f>B45*0.15</f>
        <v>10770</v>
      </c>
      <c r="C32" s="40">
        <f>B32/24</f>
        <v>448.75</v>
      </c>
      <c r="F32" s="195"/>
      <c r="G32" s="195"/>
      <c r="H32" s="5"/>
      <c r="I32" s="15"/>
      <c r="J32" s="57"/>
      <c r="K32" s="15"/>
      <c r="L32" s="15"/>
      <c r="M32" s="15"/>
      <c r="N32">
        <v>31</v>
      </c>
      <c r="O32" s="176">
        <v>2034</v>
      </c>
      <c r="P32" s="131">
        <v>59</v>
      </c>
      <c r="Q32" s="131">
        <v>30</v>
      </c>
    </row>
    <row r="33" spans="1:17" x14ac:dyDescent="0.15">
      <c r="A33" s="29" t="s">
        <v>59</v>
      </c>
      <c r="B33" s="15">
        <f>B45*0.1</f>
        <v>7180</v>
      </c>
      <c r="C33" s="40">
        <f>B33/24</f>
        <v>299.16666666666669</v>
      </c>
      <c r="F33" s="196"/>
      <c r="G33" s="196"/>
      <c r="H33" s="26"/>
      <c r="N33">
        <v>32</v>
      </c>
      <c r="O33" s="176">
        <v>2035</v>
      </c>
      <c r="P33" s="131">
        <v>60</v>
      </c>
      <c r="Q33" s="131">
        <v>31</v>
      </c>
    </row>
    <row r="34" spans="1:17" x14ac:dyDescent="0.15">
      <c r="A34" s="30" t="s">
        <v>60</v>
      </c>
      <c r="B34" s="37">
        <f>B45*0.05</f>
        <v>3590</v>
      </c>
      <c r="C34" s="41">
        <f>B34/24</f>
        <v>149.58333333333334</v>
      </c>
      <c r="F34" s="197"/>
      <c r="G34" s="197"/>
      <c r="H34" s="51"/>
      <c r="N34">
        <v>33</v>
      </c>
      <c r="O34" s="176">
        <v>2036</v>
      </c>
      <c r="P34" s="131">
        <v>61</v>
      </c>
      <c r="Q34" s="131">
        <v>32</v>
      </c>
    </row>
    <row r="35" spans="1:17" x14ac:dyDescent="0.15">
      <c r="B35" s="15"/>
      <c r="C35" s="15"/>
      <c r="F35" s="51"/>
      <c r="G35" s="51"/>
      <c r="H35" s="51"/>
      <c r="N35">
        <v>34</v>
      </c>
      <c r="O35" s="176">
        <v>2037</v>
      </c>
      <c r="P35" s="131">
        <v>62</v>
      </c>
      <c r="Q35" s="131">
        <v>33</v>
      </c>
    </row>
    <row r="36" spans="1:17" x14ac:dyDescent="0.15">
      <c r="A36" s="114" t="s">
        <v>237</v>
      </c>
      <c r="E36" s="36" t="s">
        <v>213</v>
      </c>
      <c r="F36" s="51"/>
      <c r="G36" s="120" t="s">
        <v>229</v>
      </c>
      <c r="H36" s="51"/>
      <c r="I36" s="15" t="e">
        <f>E42-(E42*0.28)</f>
        <v>#REF!</v>
      </c>
      <c r="N36">
        <v>35</v>
      </c>
      <c r="O36" s="176">
        <v>2038</v>
      </c>
      <c r="P36" s="131">
        <v>63</v>
      </c>
      <c r="Q36" s="131">
        <v>34</v>
      </c>
    </row>
    <row r="37" spans="1:17" x14ac:dyDescent="0.15">
      <c r="A37" s="135" t="s">
        <v>261</v>
      </c>
      <c r="B37" s="136">
        <v>60</v>
      </c>
      <c r="C37" s="138" t="s">
        <v>265</v>
      </c>
      <c r="E37" s="121" t="s">
        <v>226</v>
      </c>
      <c r="F37" s="125" t="s">
        <v>214</v>
      </c>
      <c r="G37" s="116" t="e">
        <f>#REF!</f>
        <v>#REF!</v>
      </c>
      <c r="H37" s="124" t="s">
        <v>220</v>
      </c>
      <c r="I37" s="117" t="e">
        <f>#REF!</f>
        <v>#REF!</v>
      </c>
      <c r="N37">
        <v>36</v>
      </c>
      <c r="O37" s="176">
        <v>2039</v>
      </c>
      <c r="P37" s="131">
        <v>64</v>
      </c>
      <c r="Q37" s="131">
        <v>35</v>
      </c>
    </row>
    <row r="38" spans="1:17" x14ac:dyDescent="0.15">
      <c r="A38" s="115" t="s">
        <v>263</v>
      </c>
      <c r="B38" s="26">
        <v>640</v>
      </c>
      <c r="C38" s="40">
        <v>270.39999999999998</v>
      </c>
      <c r="E38" s="118" t="e">
        <f>SUM(G37:G42)+SUM(I37:I42)</f>
        <v>#REF!</v>
      </c>
      <c r="F38" s="125" t="s">
        <v>216</v>
      </c>
      <c r="G38" s="116" t="e">
        <f>#REF!</f>
        <v>#REF!</v>
      </c>
      <c r="H38" s="124" t="s">
        <v>221</v>
      </c>
      <c r="I38" s="117" t="e">
        <f>#REF!</f>
        <v>#REF!</v>
      </c>
      <c r="N38">
        <v>37</v>
      </c>
      <c r="O38" s="176">
        <v>2040</v>
      </c>
      <c r="P38" s="131">
        <v>65</v>
      </c>
      <c r="Q38" s="131">
        <v>36</v>
      </c>
    </row>
    <row r="39" spans="1:17" x14ac:dyDescent="0.15">
      <c r="A39" s="115" t="s">
        <v>262</v>
      </c>
      <c r="B39" s="26">
        <f>B37*B38</f>
        <v>38400</v>
      </c>
      <c r="C39" s="139">
        <f>B37*C38</f>
        <v>16223.999999999998</v>
      </c>
      <c r="E39" s="115" t="s">
        <v>227</v>
      </c>
      <c r="F39" s="125" t="s">
        <v>215</v>
      </c>
      <c r="G39" s="116" t="e">
        <f>#REF!</f>
        <v>#REF!</v>
      </c>
      <c r="H39" s="124" t="s">
        <v>222</v>
      </c>
      <c r="I39" s="117" t="e">
        <f>#REF!</f>
        <v>#REF!</v>
      </c>
    </row>
    <row r="40" spans="1:17" x14ac:dyDescent="0.15">
      <c r="A40" s="115" t="s">
        <v>264</v>
      </c>
      <c r="B40" s="26">
        <v>3820</v>
      </c>
      <c r="C40" s="140" t="s">
        <v>266</v>
      </c>
      <c r="E40" s="119" t="e">
        <f>E38*0.28</f>
        <v>#REF!</v>
      </c>
      <c r="F40" s="126" t="s">
        <v>217</v>
      </c>
      <c r="G40" s="116" t="e">
        <f>#REF!</f>
        <v>#REF!</v>
      </c>
      <c r="H40" s="124" t="s">
        <v>223</v>
      </c>
      <c r="I40" s="117" t="e">
        <f>#REF!</f>
        <v>#REF!</v>
      </c>
    </row>
    <row r="41" spans="1:17" x14ac:dyDescent="0.15">
      <c r="A41" s="137" t="s">
        <v>42</v>
      </c>
      <c r="B41" s="11">
        <f>B39+B40</f>
        <v>42220</v>
      </c>
      <c r="C41" s="141">
        <f>B41-C39</f>
        <v>25996</v>
      </c>
      <c r="E41" s="122" t="s">
        <v>230</v>
      </c>
      <c r="F41" s="125" t="s">
        <v>218</v>
      </c>
      <c r="G41" s="116" t="e">
        <f>#REF!</f>
        <v>#REF!</v>
      </c>
      <c r="H41" s="124" t="s">
        <v>224</v>
      </c>
      <c r="I41" s="117" t="e">
        <f>#REF!</f>
        <v>#REF!</v>
      </c>
    </row>
    <row r="42" spans="1:17" x14ac:dyDescent="0.15">
      <c r="B42" s="15"/>
      <c r="C42" s="15"/>
      <c r="D42" s="33"/>
      <c r="E42" s="123" t="e">
        <f>AVERAGE(G37:G42,I37:I42)</f>
        <v>#REF!</v>
      </c>
      <c r="F42" s="127" t="s">
        <v>219</v>
      </c>
      <c r="G42" s="116" t="e">
        <f>#REF!</f>
        <v>#REF!</v>
      </c>
      <c r="H42" s="124" t="s">
        <v>225</v>
      </c>
      <c r="I42" s="117" t="e">
        <f>#REF!</f>
        <v>#REF!</v>
      </c>
    </row>
    <row r="43" spans="1:17" x14ac:dyDescent="0.15">
      <c r="A43" s="36" t="s">
        <v>47</v>
      </c>
      <c r="E43" s="144" t="s">
        <v>270</v>
      </c>
      <c r="I43" s="15"/>
    </row>
    <row r="44" spans="1:17" x14ac:dyDescent="0.15">
      <c r="A44" s="45" t="s">
        <v>236</v>
      </c>
      <c r="B44" s="46" t="s">
        <v>52</v>
      </c>
      <c r="C44" s="46" t="s">
        <v>51</v>
      </c>
      <c r="E44" s="36" t="s">
        <v>296</v>
      </c>
      <c r="F44" s="133"/>
      <c r="G44" s="22"/>
      <c r="H44" s="133"/>
    </row>
    <row r="45" spans="1:17" x14ac:dyDescent="0.15">
      <c r="A45" s="28" t="s">
        <v>48</v>
      </c>
      <c r="B45" s="9">
        <v>71800</v>
      </c>
      <c r="C45" s="39">
        <f t="shared" ref="C45:C54" si="0">B45/24</f>
        <v>2991.6666666666665</v>
      </c>
      <c r="E45" s="151" t="s">
        <v>271</v>
      </c>
      <c r="F45" s="43"/>
      <c r="G45" s="152">
        <v>0</v>
      </c>
      <c r="H45" s="153" t="s">
        <v>274</v>
      </c>
      <c r="I45" s="154" t="e">
        <f>-CUMIPMT( G46/12, G47*12, G45, 1, 12, 0 )</f>
        <v>#NUM!</v>
      </c>
      <c r="K45" s="157"/>
      <c r="L45" s="147"/>
      <c r="M45" s="147"/>
      <c r="N45" s="147"/>
      <c r="O45" s="147"/>
      <c r="P45" s="147"/>
    </row>
    <row r="46" spans="1:17" x14ac:dyDescent="0.15">
      <c r="A46" s="29" t="s">
        <v>49</v>
      </c>
      <c r="B46" s="5">
        <f>445*24</f>
        <v>10680</v>
      </c>
      <c r="C46" s="40">
        <f t="shared" si="0"/>
        <v>445</v>
      </c>
      <c r="E46" s="155" t="s">
        <v>272</v>
      </c>
      <c r="G46" s="19">
        <v>4.19E-2</v>
      </c>
      <c r="H46" s="132" t="s">
        <v>275</v>
      </c>
      <c r="I46" s="111" t="e">
        <f>-CUMIPMT( G46/12, G47*12, G45, 13, 24, 0 )</f>
        <v>#NUM!</v>
      </c>
      <c r="K46" s="157"/>
      <c r="L46" s="147"/>
      <c r="M46" s="147"/>
      <c r="N46" s="147"/>
      <c r="O46" s="147"/>
      <c r="P46" s="147"/>
    </row>
    <row r="47" spans="1:17" x14ac:dyDescent="0.15">
      <c r="A47" s="29" t="s">
        <v>50</v>
      </c>
      <c r="B47" s="5">
        <f>26.88*24</f>
        <v>645.12</v>
      </c>
      <c r="C47" s="40">
        <f t="shared" si="0"/>
        <v>26.88</v>
      </c>
      <c r="E47" s="155" t="s">
        <v>273</v>
      </c>
      <c r="G47">
        <v>4</v>
      </c>
      <c r="H47" s="132" t="s">
        <v>276</v>
      </c>
      <c r="I47" s="38" t="e">
        <f>-CUMIPMT( G46/12, G47*12, G45, 25, 36, 0 )</f>
        <v>#NUM!</v>
      </c>
      <c r="K47" s="157"/>
      <c r="L47" s="147"/>
      <c r="M47" s="147"/>
      <c r="N47" s="147"/>
      <c r="O47" s="147"/>
      <c r="P47" s="147"/>
    </row>
    <row r="48" spans="1:17" x14ac:dyDescent="0.15">
      <c r="A48" s="115" t="s">
        <v>238</v>
      </c>
      <c r="B48" s="11">
        <f>74.94*24</f>
        <v>1798.56</v>
      </c>
      <c r="C48" s="38">
        <f t="shared" si="0"/>
        <v>74.94</v>
      </c>
      <c r="E48" s="155"/>
      <c r="H48" s="132" t="s">
        <v>277</v>
      </c>
      <c r="I48" s="38" t="e">
        <f>-CUMIPMT( G46/12, G47*12, G45, 37, 48, 0 )</f>
        <v>#NUM!</v>
      </c>
      <c r="K48" s="157"/>
      <c r="L48" s="147"/>
      <c r="M48" s="147"/>
      <c r="N48" s="147"/>
      <c r="O48" s="147"/>
      <c r="P48" s="147"/>
    </row>
    <row r="49" spans="1:16" x14ac:dyDescent="0.15">
      <c r="A49" s="29" t="s">
        <v>53</v>
      </c>
      <c r="B49" s="26">
        <f>SUM(B45-(B31+B46+B47+B48))</f>
        <v>51496.32</v>
      </c>
      <c r="C49" s="39">
        <f t="shared" si="0"/>
        <v>2145.6799999999998</v>
      </c>
      <c r="D49" s="5"/>
      <c r="E49" s="155" t="s">
        <v>281</v>
      </c>
      <c r="G49" s="148">
        <f>-PMT(G46/12,G47*12,G45)</f>
        <v>0</v>
      </c>
      <c r="H49" s="132" t="s">
        <v>278</v>
      </c>
      <c r="I49" s="38" t="e">
        <f>-CUMIPMT(G46/12, G47*12, G45, 49, 60, 0 )</f>
        <v>#NUM!</v>
      </c>
      <c r="K49" s="157"/>
      <c r="L49" s="147"/>
      <c r="M49" s="147"/>
      <c r="N49" s="147"/>
      <c r="O49" s="147"/>
      <c r="P49" s="147"/>
    </row>
    <row r="50" spans="1:16" x14ac:dyDescent="0.15">
      <c r="A50" s="29" t="s">
        <v>55</v>
      </c>
      <c r="B50" s="5">
        <f>B49*0.10265</f>
        <v>5286.097248</v>
      </c>
      <c r="C50" s="40">
        <f t="shared" si="0"/>
        <v>220.254052</v>
      </c>
      <c r="D50" s="5"/>
      <c r="E50" s="155" t="s">
        <v>282</v>
      </c>
      <c r="G50" s="149">
        <f>G45/(G47*12)</f>
        <v>0</v>
      </c>
      <c r="H50" s="132" t="s">
        <v>279</v>
      </c>
      <c r="I50" s="38" t="e">
        <f>-CUMIPMT(G46/12, G47*12, G45, 61, 72, 0 )</f>
        <v>#NUM!</v>
      </c>
    </row>
    <row r="51" spans="1:16" x14ac:dyDescent="0.15">
      <c r="A51" s="29" t="s">
        <v>54</v>
      </c>
      <c r="B51" s="5">
        <f>B49*0.0645</f>
        <v>3321.5126399999999</v>
      </c>
      <c r="C51" s="40">
        <f t="shared" si="0"/>
        <v>138.39635999999999</v>
      </c>
      <c r="D51" s="5"/>
      <c r="E51" s="137"/>
      <c r="F51" s="49"/>
      <c r="G51" s="49"/>
      <c r="H51" s="156" t="s">
        <v>280</v>
      </c>
      <c r="I51" s="141" t="e">
        <f>SUM(I45:I50)</f>
        <v>#NUM!</v>
      </c>
      <c r="K51" s="147"/>
      <c r="L51" s="147"/>
    </row>
    <row r="52" spans="1:16" x14ac:dyDescent="0.15">
      <c r="A52" s="29" t="s">
        <v>56</v>
      </c>
      <c r="B52" s="5">
        <f>B49*0.0151</f>
        <v>777.59443199999998</v>
      </c>
      <c r="C52" s="40">
        <f t="shared" si="0"/>
        <v>32.399768000000002</v>
      </c>
      <c r="D52" s="130"/>
      <c r="K52" s="147"/>
      <c r="L52" s="147"/>
    </row>
    <row r="53" spans="1:16" x14ac:dyDescent="0.15">
      <c r="A53" s="115" t="s">
        <v>239</v>
      </c>
      <c r="B53" s="5">
        <f>9.27*24</f>
        <v>222.48</v>
      </c>
      <c r="C53" s="40">
        <f t="shared" si="0"/>
        <v>9.27</v>
      </c>
      <c r="D53" s="5"/>
      <c r="E53" s="57" t="s">
        <v>294</v>
      </c>
      <c r="G53" s="145">
        <v>9619.0300000000007</v>
      </c>
      <c r="H53" s="132" t="s">
        <v>274</v>
      </c>
      <c r="I53" s="5">
        <f>-CUMIPMT( G54/12, G55*12, G53, 1, 12, 0 )</f>
        <v>360.03899155914041</v>
      </c>
      <c r="J53" t="s">
        <v>293</v>
      </c>
      <c r="L53" s="147" t="s">
        <v>289</v>
      </c>
      <c r="M53" s="133" t="s">
        <v>283</v>
      </c>
    </row>
    <row r="54" spans="1:16" x14ac:dyDescent="0.15">
      <c r="A54" s="47" t="s">
        <v>57</v>
      </c>
      <c r="B54" s="48">
        <f>SUM(B49-(B50+B51+B52+B53))</f>
        <v>41888.635679999999</v>
      </c>
      <c r="C54" s="52">
        <f t="shared" si="0"/>
        <v>1745.3598199999999</v>
      </c>
      <c r="E54" s="57" t="s">
        <v>295</v>
      </c>
      <c r="G54" s="19">
        <v>4.19E-2</v>
      </c>
      <c r="H54" s="132" t="s">
        <v>275</v>
      </c>
      <c r="I54" s="146">
        <f>-CUMIPMT( G54/12, G55*12, G53, 13, 24, 0 )</f>
        <v>263.67387216753787</v>
      </c>
      <c r="J54">
        <v>36</v>
      </c>
      <c r="K54" s="19">
        <v>4.1399999999999999E-2</v>
      </c>
      <c r="L54" s="147" t="s">
        <v>290</v>
      </c>
      <c r="M54" s="133" t="s">
        <v>284</v>
      </c>
    </row>
    <row r="55" spans="1:16" x14ac:dyDescent="0.15">
      <c r="C55" s="5"/>
      <c r="D55" s="5"/>
      <c r="G55">
        <v>4</v>
      </c>
      <c r="H55" s="132" t="s">
        <v>276</v>
      </c>
      <c r="I55" s="5">
        <f>-CUMIPMT( G54/12, G55*12, G53, 25, 36, 0 )</f>
        <v>163.19260402166492</v>
      </c>
      <c r="J55">
        <v>48</v>
      </c>
      <c r="K55" s="19">
        <v>3.7900000000000003E-2</v>
      </c>
      <c r="L55" s="147" t="s">
        <v>291</v>
      </c>
      <c r="M55" s="133">
        <v>44586466</v>
      </c>
    </row>
    <row r="56" spans="1:16" x14ac:dyDescent="0.15">
      <c r="D56" s="5"/>
      <c r="H56" s="132" t="s">
        <v>277</v>
      </c>
      <c r="I56" s="5">
        <f>-CUMIPMT( G54/12, G55*12, G53, 37, 48, 0 )</f>
        <v>58.419369557302161</v>
      </c>
      <c r="J56">
        <v>60</v>
      </c>
      <c r="K56" s="19">
        <v>3.7999999999999999E-2</v>
      </c>
      <c r="L56" s="147" t="s">
        <v>292</v>
      </c>
      <c r="M56" s="133" t="s">
        <v>285</v>
      </c>
    </row>
    <row r="57" spans="1:16" x14ac:dyDescent="0.15">
      <c r="A57" t="s">
        <v>287</v>
      </c>
      <c r="B57" t="s">
        <v>288</v>
      </c>
      <c r="D57" s="5"/>
      <c r="G57" s="148">
        <f>-PMT(G54/12,G55*12,G53)</f>
        <v>218.00739244386762</v>
      </c>
      <c r="H57" s="132" t="s">
        <v>278</v>
      </c>
      <c r="I57" s="5" t="e">
        <f>-CUMIPMT(G54/12, G55*12, G53, 49, 60, 0 )</f>
        <v>#NUM!</v>
      </c>
      <c r="M57" s="133" t="s">
        <v>286</v>
      </c>
    </row>
    <row r="58" spans="1:16" x14ac:dyDescent="0.15">
      <c r="G58" s="149">
        <f>G53/(G55*12)</f>
        <v>200.39645833333336</v>
      </c>
      <c r="H58" s="132" t="s">
        <v>279</v>
      </c>
      <c r="I58" s="5" t="e">
        <f>-CUMIPMT(G54/12, G55*12, G53, 61, 72, 0 )</f>
        <v>#NUM!</v>
      </c>
      <c r="M58" s="133"/>
    </row>
    <row r="59" spans="1:16" x14ac:dyDescent="0.15">
      <c r="H59" s="132" t="s">
        <v>280</v>
      </c>
      <c r="I59" s="5">
        <f>SUM(I53:I55)</f>
        <v>786.9054677483432</v>
      </c>
    </row>
  </sheetData>
  <mergeCells count="33">
    <mergeCell ref="F32:G32"/>
    <mergeCell ref="F33:G33"/>
    <mergeCell ref="F34:G34"/>
    <mergeCell ref="F22:G22"/>
    <mergeCell ref="F23:G23"/>
    <mergeCell ref="F25:G25"/>
    <mergeCell ref="F26:G26"/>
    <mergeCell ref="F28:G28"/>
    <mergeCell ref="F30:G30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9:G9"/>
    <mergeCell ref="F1:G1"/>
    <mergeCell ref="F2:G2"/>
    <mergeCell ref="I2:K2"/>
    <mergeCell ref="F3:G3"/>
    <mergeCell ref="F4:G4"/>
    <mergeCell ref="I4:K4"/>
    <mergeCell ref="F5:G5"/>
    <mergeCell ref="F6:G6"/>
    <mergeCell ref="I6:K6"/>
    <mergeCell ref="F7:G7"/>
    <mergeCell ref="F8:G8"/>
  </mergeCells>
  <conditionalFormatting sqref="F28 H28">
    <cfRule type="cellIs" dxfId="0" priority="1" stopIfTrue="1" operator="greaterThanOrEqual">
      <formula>0</formula>
    </cfRule>
  </conditionalFormatting>
  <pageMargins left="0.77" right="0.55000000000000004" top="0.82" bottom="0.84" header="0.5" footer="0.5"/>
  <pageSetup scale="90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0"/>
  <sheetViews>
    <sheetView tabSelected="1" workbookViewId="0">
      <selection activeCell="H2" sqref="H2"/>
    </sheetView>
  </sheetViews>
  <sheetFormatPr baseColWidth="10" defaultColWidth="8.83203125" defaultRowHeight="13" x14ac:dyDescent="0.15"/>
  <cols>
    <col min="2" max="2" width="10.5" customWidth="1"/>
    <col min="6" max="6" width="10.6640625" customWidth="1"/>
    <col min="11" max="11" width="28.5" customWidth="1"/>
    <col min="13" max="13" width="10.5" customWidth="1"/>
    <col min="14" max="14" width="31.33203125" customWidth="1"/>
    <col min="16" max="16" width="10.6640625" customWidth="1"/>
    <col min="17" max="17" width="3.1640625" customWidth="1"/>
    <col min="18" max="18" width="5.83203125" customWidth="1"/>
    <col min="19" max="19" width="51.5" customWidth="1"/>
    <col min="20" max="20" width="17.83203125" customWidth="1"/>
    <col min="21" max="21" width="23" customWidth="1"/>
    <col min="22" max="22" width="3.33203125" customWidth="1"/>
    <col min="24" max="24" width="12.1640625" customWidth="1"/>
    <col min="26" max="26" width="12" customWidth="1"/>
    <col min="28" max="28" width="8" customWidth="1"/>
    <col min="29" max="30" width="6.5" customWidth="1"/>
    <col min="31" max="31" width="7.83203125" customWidth="1"/>
    <col min="33" max="33" width="2" customWidth="1"/>
    <col min="34" max="34" width="10.6640625" customWidth="1"/>
    <col min="35" max="36" width="8.5" customWidth="1"/>
    <col min="37" max="37" width="14.33203125" customWidth="1"/>
    <col min="38" max="38" width="7.33203125" customWidth="1"/>
    <col min="39" max="39" width="12.5" customWidth="1"/>
    <col min="40" max="40" width="10.83203125" customWidth="1"/>
    <col min="41" max="41" width="14.33203125" customWidth="1"/>
    <col min="42" max="42" width="12.33203125" customWidth="1"/>
  </cols>
  <sheetData>
    <row r="1" spans="1:42" ht="74.25" customHeight="1" thickBot="1" x14ac:dyDescent="0.35">
      <c r="A1" s="53" t="s">
        <v>62</v>
      </c>
      <c r="B1" s="54"/>
      <c r="C1" s="54"/>
      <c r="D1" s="54"/>
      <c r="E1" s="186" t="s">
        <v>347</v>
      </c>
      <c r="F1" s="54"/>
      <c r="G1" s="54"/>
      <c r="H1" s="54"/>
      <c r="I1" s="54"/>
      <c r="J1" s="54"/>
      <c r="K1" s="53" t="s">
        <v>62</v>
      </c>
      <c r="L1" s="54"/>
      <c r="M1" s="54"/>
      <c r="N1" s="54"/>
      <c r="O1" s="54"/>
      <c r="P1" s="54"/>
      <c r="Q1" s="54"/>
      <c r="R1" s="53" t="s">
        <v>62</v>
      </c>
      <c r="S1" s="54"/>
      <c r="T1" s="54"/>
      <c r="U1" s="54"/>
      <c r="W1" s="53" t="s">
        <v>62</v>
      </c>
      <c r="X1" s="54"/>
      <c r="Y1" s="54"/>
      <c r="Z1" s="54"/>
      <c r="AA1" s="54"/>
      <c r="AB1" s="54"/>
      <c r="AC1" s="54"/>
      <c r="AD1" s="54"/>
      <c r="AE1" s="54"/>
      <c r="AF1" s="54"/>
      <c r="AH1" s="53" t="s">
        <v>62</v>
      </c>
      <c r="AI1" s="54"/>
      <c r="AJ1" s="54"/>
      <c r="AK1" s="54"/>
      <c r="AL1" s="54"/>
      <c r="AM1" s="54"/>
      <c r="AN1" s="54"/>
      <c r="AO1" s="54"/>
      <c r="AP1" s="54"/>
    </row>
    <row r="2" spans="1:42" ht="26.25" customHeight="1" thickTop="1" thickBot="1" x14ac:dyDescent="0.3">
      <c r="A2" s="55" t="s">
        <v>63</v>
      </c>
      <c r="B2" s="217">
        <f ca="1">TODAY()</f>
        <v>45216</v>
      </c>
      <c r="C2" s="217"/>
      <c r="D2" s="217"/>
    </row>
    <row r="3" spans="1:42" ht="15" customHeight="1" x14ac:dyDescent="0.15"/>
    <row r="4" spans="1:42" ht="20" thickBot="1" x14ac:dyDescent="0.2">
      <c r="A4" s="56" t="s">
        <v>64</v>
      </c>
      <c r="K4" s="56" t="s">
        <v>94</v>
      </c>
      <c r="R4" s="56" t="s">
        <v>1</v>
      </c>
      <c r="W4" s="56" t="s">
        <v>169</v>
      </c>
      <c r="AH4" s="56" t="s">
        <v>189</v>
      </c>
    </row>
    <row r="5" spans="1:42" ht="23.25" customHeight="1" x14ac:dyDescent="0.15">
      <c r="A5" s="58"/>
      <c r="B5" s="218" t="s">
        <v>65</v>
      </c>
      <c r="C5" s="219"/>
      <c r="D5" s="219"/>
      <c r="E5" s="219"/>
      <c r="F5" s="59" t="s">
        <v>79</v>
      </c>
      <c r="G5" s="59" t="s">
        <v>66</v>
      </c>
      <c r="H5" s="218" t="s">
        <v>67</v>
      </c>
      <c r="I5" s="219"/>
      <c r="J5" s="219"/>
      <c r="K5" s="91" t="s">
        <v>95</v>
      </c>
      <c r="L5" s="85"/>
      <c r="M5" s="85"/>
      <c r="N5" s="91" t="s">
        <v>96</v>
      </c>
      <c r="O5" s="88"/>
      <c r="P5" s="88"/>
      <c r="R5" s="89"/>
      <c r="S5" s="85" t="s">
        <v>156</v>
      </c>
      <c r="T5" s="74" t="s">
        <v>162</v>
      </c>
      <c r="U5" s="85" t="s">
        <v>158</v>
      </c>
      <c r="V5" s="94"/>
      <c r="W5" s="220" t="s">
        <v>170</v>
      </c>
      <c r="X5" s="210" t="s">
        <v>182</v>
      </c>
      <c r="Y5" s="210" t="s">
        <v>171</v>
      </c>
      <c r="Z5" s="210" t="s">
        <v>172</v>
      </c>
      <c r="AA5" s="210" t="s">
        <v>183</v>
      </c>
      <c r="AB5" s="210" t="s">
        <v>184</v>
      </c>
      <c r="AC5" s="210" t="s">
        <v>185</v>
      </c>
      <c r="AD5" s="210" t="s">
        <v>186</v>
      </c>
      <c r="AE5" s="210" t="s">
        <v>187</v>
      </c>
      <c r="AF5" s="210" t="s">
        <v>188</v>
      </c>
      <c r="AH5" s="210" t="s">
        <v>174</v>
      </c>
      <c r="AI5" s="210" t="s">
        <v>197</v>
      </c>
      <c r="AJ5" s="210" t="s">
        <v>190</v>
      </c>
      <c r="AK5" s="210" t="s">
        <v>191</v>
      </c>
      <c r="AL5" s="210" t="s">
        <v>192</v>
      </c>
      <c r="AM5" s="210" t="s">
        <v>193</v>
      </c>
      <c r="AN5" s="210" t="s">
        <v>194</v>
      </c>
      <c r="AO5" s="210" t="s">
        <v>195</v>
      </c>
      <c r="AP5" s="210" t="s">
        <v>196</v>
      </c>
    </row>
    <row r="6" spans="1:42" ht="15" customHeight="1" thickBot="1" x14ac:dyDescent="0.2">
      <c r="A6" s="60">
        <v>1</v>
      </c>
      <c r="B6" s="218"/>
      <c r="C6" s="219"/>
      <c r="D6" s="219"/>
      <c r="E6" s="219"/>
      <c r="F6" s="71"/>
      <c r="G6" s="58"/>
      <c r="H6" s="223"/>
      <c r="I6" s="219"/>
      <c r="J6" s="219"/>
      <c r="K6" s="75"/>
      <c r="L6" s="76" t="s">
        <v>97</v>
      </c>
      <c r="M6" s="76" t="s">
        <v>98</v>
      </c>
      <c r="N6" s="77"/>
      <c r="O6" s="76" t="s">
        <v>97</v>
      </c>
      <c r="P6" s="76" t="s">
        <v>98</v>
      </c>
      <c r="R6" s="90"/>
      <c r="S6" s="92"/>
      <c r="T6" s="73"/>
      <c r="U6" s="86"/>
      <c r="V6" s="94"/>
      <c r="W6" s="221"/>
      <c r="X6" s="211"/>
      <c r="Y6" s="211"/>
      <c r="Z6" s="211"/>
      <c r="AA6" s="211"/>
      <c r="AB6" s="211"/>
      <c r="AC6" s="211"/>
      <c r="AD6" s="211"/>
      <c r="AE6" s="211"/>
      <c r="AF6" s="211"/>
      <c r="AH6" s="212"/>
      <c r="AI6" s="212"/>
      <c r="AJ6" s="212"/>
      <c r="AK6" s="212"/>
      <c r="AL6" s="212"/>
      <c r="AM6" s="212"/>
      <c r="AN6" s="212"/>
      <c r="AO6" s="212"/>
      <c r="AP6" s="212"/>
    </row>
    <row r="7" spans="1:42" ht="15" customHeight="1" thickBot="1" x14ac:dyDescent="0.2">
      <c r="A7" s="60">
        <v>2</v>
      </c>
      <c r="B7" s="218"/>
      <c r="C7" s="219"/>
      <c r="D7" s="219"/>
      <c r="E7" s="219"/>
      <c r="F7" s="70"/>
      <c r="G7" s="58"/>
      <c r="H7" s="218"/>
      <c r="I7" s="219"/>
      <c r="J7" s="219"/>
      <c r="K7" s="75" t="s">
        <v>99</v>
      </c>
      <c r="L7" s="142">
        <v>0</v>
      </c>
      <c r="M7" s="143">
        <f>L7*12</f>
        <v>0</v>
      </c>
      <c r="N7" s="77" t="s">
        <v>100</v>
      </c>
      <c r="O7" s="142">
        <v>0</v>
      </c>
      <c r="P7" s="143">
        <f>O7*12</f>
        <v>0</v>
      </c>
      <c r="R7" s="81">
        <v>1</v>
      </c>
      <c r="S7" s="77"/>
      <c r="T7" s="77" t="s">
        <v>75</v>
      </c>
      <c r="U7" s="100" t="s">
        <v>159</v>
      </c>
      <c r="V7" s="99"/>
      <c r="W7" s="221"/>
      <c r="X7" s="211"/>
      <c r="Y7" s="211"/>
      <c r="Z7" s="211"/>
      <c r="AA7" s="211"/>
      <c r="AB7" s="211"/>
      <c r="AC7" s="211"/>
      <c r="AD7" s="211"/>
      <c r="AE7" s="211"/>
      <c r="AF7" s="211"/>
      <c r="AH7" s="75"/>
      <c r="AI7" s="77"/>
      <c r="AJ7" s="77"/>
      <c r="AK7" s="77"/>
      <c r="AL7" s="77"/>
      <c r="AM7" s="77" t="s">
        <v>75</v>
      </c>
      <c r="AN7" s="77" t="s">
        <v>75</v>
      </c>
      <c r="AO7" s="77" t="s">
        <v>75</v>
      </c>
      <c r="AP7" s="77"/>
    </row>
    <row r="8" spans="1:42" ht="15" customHeight="1" thickBot="1" x14ac:dyDescent="0.2">
      <c r="K8" s="75" t="s">
        <v>101</v>
      </c>
      <c r="L8" s="142">
        <v>0</v>
      </c>
      <c r="M8" s="142">
        <f t="shared" ref="M8:M23" si="0">L8*12</f>
        <v>0</v>
      </c>
      <c r="N8" s="77" t="s">
        <v>268</v>
      </c>
      <c r="O8" s="142">
        <v>0</v>
      </c>
      <c r="P8" s="143">
        <f t="shared" ref="P8:P23" si="1">O8*12</f>
        <v>0</v>
      </c>
      <c r="R8" s="81">
        <v>2</v>
      </c>
      <c r="S8" s="77"/>
      <c r="T8" s="77" t="s">
        <v>75</v>
      </c>
      <c r="U8" s="100" t="s">
        <v>159</v>
      </c>
      <c r="V8" s="99"/>
      <c r="W8" s="222"/>
      <c r="X8" s="212"/>
      <c r="Y8" s="212"/>
      <c r="Z8" s="212"/>
      <c r="AA8" s="212"/>
      <c r="AB8" s="212"/>
      <c r="AC8" s="212"/>
      <c r="AD8" s="212"/>
      <c r="AE8" s="212"/>
      <c r="AF8" s="212"/>
      <c r="AH8" s="75"/>
      <c r="AI8" s="77"/>
      <c r="AJ8" s="77"/>
      <c r="AK8" s="77"/>
      <c r="AL8" s="77"/>
      <c r="AM8" s="77" t="s">
        <v>75</v>
      </c>
      <c r="AN8" s="77" t="s">
        <v>75</v>
      </c>
      <c r="AO8" s="77" t="s">
        <v>75</v>
      </c>
      <c r="AP8" s="77"/>
    </row>
    <row r="9" spans="1:42" ht="15" customHeight="1" thickBot="1" x14ac:dyDescent="0.2">
      <c r="A9" s="184" t="s">
        <v>345</v>
      </c>
      <c r="B9" s="49"/>
      <c r="C9" s="49"/>
      <c r="D9" s="49"/>
      <c r="E9" s="49"/>
      <c r="F9" s="49"/>
      <c r="G9" s="49"/>
      <c r="H9" s="49"/>
      <c r="I9" s="49"/>
      <c r="K9" s="75" t="s">
        <v>102</v>
      </c>
      <c r="L9" s="142">
        <v>0</v>
      </c>
      <c r="M9" s="142">
        <f t="shared" si="0"/>
        <v>0</v>
      </c>
      <c r="N9" s="77" t="s">
        <v>103</v>
      </c>
      <c r="O9" s="142">
        <v>0</v>
      </c>
      <c r="P9" s="143">
        <f t="shared" si="1"/>
        <v>0</v>
      </c>
      <c r="R9" s="81">
        <v>3</v>
      </c>
      <c r="S9" s="77"/>
      <c r="T9" s="77" t="s">
        <v>75</v>
      </c>
      <c r="U9" s="100" t="s">
        <v>159</v>
      </c>
      <c r="V9" s="99"/>
      <c r="W9" s="75">
        <v>1</v>
      </c>
      <c r="X9" s="77"/>
      <c r="Y9" s="77"/>
      <c r="Z9" s="77"/>
      <c r="AA9" s="77"/>
      <c r="AB9" s="77"/>
      <c r="AC9" s="77"/>
      <c r="AD9" s="77"/>
      <c r="AE9" s="77"/>
      <c r="AF9" s="77"/>
      <c r="AH9" s="75"/>
      <c r="AI9" s="77"/>
      <c r="AJ9" s="77"/>
      <c r="AK9" s="77"/>
      <c r="AL9" s="77"/>
      <c r="AM9" s="77" t="s">
        <v>75</v>
      </c>
      <c r="AN9" s="77" t="s">
        <v>75</v>
      </c>
      <c r="AO9" s="77" t="s">
        <v>75</v>
      </c>
      <c r="AP9" s="77"/>
    </row>
    <row r="10" spans="1:42" ht="15" customHeight="1" thickBot="1" x14ac:dyDescent="0.2">
      <c r="A10" s="185" t="s">
        <v>346</v>
      </c>
      <c r="B10" s="63"/>
      <c r="C10" s="63"/>
      <c r="D10" s="63"/>
      <c r="E10" s="63"/>
      <c r="F10" s="183" t="s">
        <v>344</v>
      </c>
      <c r="G10" s="63"/>
      <c r="H10" s="63"/>
      <c r="I10" s="63"/>
      <c r="K10" s="75" t="s">
        <v>104</v>
      </c>
      <c r="L10" s="142">
        <v>0</v>
      </c>
      <c r="M10" s="142">
        <f t="shared" si="0"/>
        <v>0</v>
      </c>
      <c r="N10" s="77" t="s">
        <v>105</v>
      </c>
      <c r="O10" s="142">
        <v>0</v>
      </c>
      <c r="P10" s="143">
        <f t="shared" si="1"/>
        <v>0</v>
      </c>
      <c r="R10" s="81">
        <v>4</v>
      </c>
      <c r="S10" s="77" t="s">
        <v>160</v>
      </c>
      <c r="T10" s="77" t="s">
        <v>75</v>
      </c>
      <c r="U10" s="100" t="s">
        <v>159</v>
      </c>
      <c r="V10" s="99"/>
      <c r="W10" s="75">
        <v>2</v>
      </c>
      <c r="X10" s="77"/>
      <c r="Y10" s="77"/>
      <c r="Z10" s="77"/>
      <c r="AA10" s="77"/>
      <c r="AB10" s="77"/>
      <c r="AC10" s="77"/>
      <c r="AD10" s="77"/>
      <c r="AE10" s="77"/>
      <c r="AF10" s="77"/>
      <c r="AH10" s="75"/>
      <c r="AI10" s="77"/>
      <c r="AJ10" s="77"/>
      <c r="AK10" s="77"/>
      <c r="AL10" s="77"/>
      <c r="AM10" s="77" t="s">
        <v>75</v>
      </c>
      <c r="AN10" s="77" t="s">
        <v>75</v>
      </c>
      <c r="AO10" s="77" t="s">
        <v>75</v>
      </c>
      <c r="AP10" s="77"/>
    </row>
    <row r="11" spans="1:42" ht="15" customHeight="1" thickBot="1" x14ac:dyDescent="0.2">
      <c r="A11" s="57"/>
      <c r="F11" s="64"/>
      <c r="K11" s="75" t="s">
        <v>106</v>
      </c>
      <c r="L11" s="142">
        <v>0</v>
      </c>
      <c r="M11" s="142">
        <f t="shared" si="0"/>
        <v>0</v>
      </c>
      <c r="N11" s="77" t="s">
        <v>107</v>
      </c>
      <c r="O11" s="142">
        <v>0</v>
      </c>
      <c r="P11" s="143">
        <f t="shared" si="1"/>
        <v>0</v>
      </c>
      <c r="R11" s="81">
        <v>5</v>
      </c>
      <c r="S11" s="77" t="s">
        <v>161</v>
      </c>
      <c r="T11" s="77" t="s">
        <v>75</v>
      </c>
      <c r="U11" s="100" t="s">
        <v>159</v>
      </c>
      <c r="V11" s="99"/>
      <c r="W11" s="75">
        <v>3</v>
      </c>
      <c r="X11" s="77"/>
      <c r="Y11" s="77"/>
      <c r="Z11" s="77"/>
      <c r="AA11" s="77"/>
      <c r="AB11" s="77"/>
      <c r="AC11" s="77"/>
      <c r="AD11" s="77"/>
      <c r="AE11" s="77"/>
      <c r="AF11" s="77"/>
      <c r="AH11" s="75"/>
      <c r="AI11" s="77"/>
      <c r="AJ11" s="77"/>
      <c r="AK11" s="77"/>
      <c r="AL11" s="77"/>
      <c r="AM11" s="77" t="s">
        <v>75</v>
      </c>
      <c r="AN11" s="77" t="s">
        <v>75</v>
      </c>
      <c r="AO11" s="77" t="s">
        <v>75</v>
      </c>
      <c r="AP11" s="77"/>
    </row>
    <row r="12" spans="1:42" ht="15" customHeight="1" thickTop="1" thickBot="1" x14ac:dyDescent="0.2">
      <c r="A12" s="57" t="s">
        <v>68</v>
      </c>
      <c r="E12" s="65"/>
      <c r="K12" s="75" t="s">
        <v>108</v>
      </c>
      <c r="L12" s="142">
        <v>0</v>
      </c>
      <c r="M12" s="142">
        <f t="shared" si="0"/>
        <v>0</v>
      </c>
      <c r="N12" s="77" t="s">
        <v>109</v>
      </c>
      <c r="O12" s="142">
        <v>0</v>
      </c>
      <c r="P12" s="143">
        <f t="shared" si="1"/>
        <v>0</v>
      </c>
      <c r="W12" s="75">
        <v>4</v>
      </c>
      <c r="X12" s="77"/>
      <c r="Y12" s="77"/>
      <c r="Z12" s="77"/>
      <c r="AA12" s="77"/>
      <c r="AB12" s="77"/>
      <c r="AC12" s="77"/>
      <c r="AD12" s="77"/>
      <c r="AE12" s="77"/>
      <c r="AF12" s="77"/>
      <c r="AH12" s="75"/>
      <c r="AI12" s="77"/>
      <c r="AJ12" s="77"/>
      <c r="AK12" s="77"/>
      <c r="AL12" s="77"/>
      <c r="AM12" s="77" t="s">
        <v>75</v>
      </c>
      <c r="AN12" s="77" t="s">
        <v>75</v>
      </c>
      <c r="AO12" s="77" t="s">
        <v>75</v>
      </c>
      <c r="AP12" s="77"/>
    </row>
    <row r="13" spans="1:42" ht="15" customHeight="1" thickTop="1" thickBot="1" x14ac:dyDescent="0.2">
      <c r="K13" s="75" t="s">
        <v>110</v>
      </c>
      <c r="L13" s="142">
        <v>0</v>
      </c>
      <c r="M13" s="142">
        <f t="shared" si="0"/>
        <v>0</v>
      </c>
      <c r="N13" s="77" t="s">
        <v>111</v>
      </c>
      <c r="O13" s="142">
        <v>0</v>
      </c>
      <c r="P13" s="143">
        <f t="shared" si="1"/>
        <v>0</v>
      </c>
      <c r="W13" s="75">
        <v>5</v>
      </c>
      <c r="X13" s="77"/>
      <c r="Y13" s="77"/>
      <c r="Z13" s="77"/>
      <c r="AA13" s="77"/>
      <c r="AB13" s="77"/>
      <c r="AC13" s="77"/>
      <c r="AD13" s="77"/>
      <c r="AE13" s="77"/>
      <c r="AF13" s="77"/>
      <c r="AH13" s="75"/>
      <c r="AI13" s="77"/>
      <c r="AJ13" s="77"/>
      <c r="AK13" s="77"/>
      <c r="AL13" s="77"/>
      <c r="AM13" s="77" t="s">
        <v>75</v>
      </c>
      <c r="AN13" s="77" t="s">
        <v>75</v>
      </c>
      <c r="AO13" s="77" t="s">
        <v>75</v>
      </c>
      <c r="AP13" s="77"/>
    </row>
    <row r="14" spans="1:42" ht="15" customHeight="1" thickBot="1" x14ac:dyDescent="0.3">
      <c r="A14" s="66" t="s">
        <v>69</v>
      </c>
      <c r="K14" s="75" t="s">
        <v>112</v>
      </c>
      <c r="L14" s="142">
        <v>0</v>
      </c>
      <c r="M14" s="142">
        <f t="shared" si="0"/>
        <v>0</v>
      </c>
      <c r="N14" s="77" t="s">
        <v>113</v>
      </c>
      <c r="O14" s="142">
        <v>0</v>
      </c>
      <c r="P14" s="143">
        <f t="shared" si="1"/>
        <v>0</v>
      </c>
      <c r="R14" s="56" t="s">
        <v>163</v>
      </c>
      <c r="W14" s="75">
        <v>6</v>
      </c>
      <c r="X14" s="77"/>
      <c r="Y14" s="77"/>
      <c r="Z14" s="77"/>
      <c r="AA14" s="77"/>
      <c r="AB14" s="77"/>
      <c r="AC14" s="77"/>
      <c r="AD14" s="77"/>
      <c r="AE14" s="77"/>
      <c r="AF14" s="77"/>
      <c r="AH14" s="75"/>
      <c r="AI14" s="77"/>
      <c r="AJ14" s="77"/>
      <c r="AK14" s="77"/>
      <c r="AL14" s="77"/>
      <c r="AM14" s="77" t="s">
        <v>75</v>
      </c>
      <c r="AN14" s="77" t="s">
        <v>75</v>
      </c>
      <c r="AO14" s="77" t="s">
        <v>75</v>
      </c>
      <c r="AP14" s="77"/>
    </row>
    <row r="15" spans="1:42" ht="15" customHeight="1" thickBot="1" x14ac:dyDescent="0.2">
      <c r="A15" s="61"/>
      <c r="B15" s="49"/>
      <c r="C15" s="49"/>
      <c r="D15" s="49"/>
      <c r="E15" s="49"/>
      <c r="F15" s="49"/>
      <c r="G15" s="49"/>
      <c r="H15" s="49"/>
      <c r="I15" s="49"/>
      <c r="J15" s="49"/>
      <c r="K15" s="75" t="s">
        <v>114</v>
      </c>
      <c r="L15" s="142">
        <v>0</v>
      </c>
      <c r="M15" s="142">
        <f t="shared" si="0"/>
        <v>0</v>
      </c>
      <c r="N15" s="77" t="s">
        <v>115</v>
      </c>
      <c r="O15" s="142">
        <v>0</v>
      </c>
      <c r="P15" s="143">
        <f t="shared" si="1"/>
        <v>0</v>
      </c>
      <c r="R15" s="93" t="s">
        <v>164</v>
      </c>
      <c r="AH15" s="75"/>
      <c r="AI15" s="77"/>
      <c r="AJ15" s="77"/>
      <c r="AK15" s="77"/>
      <c r="AL15" s="77"/>
      <c r="AM15" s="77" t="s">
        <v>75</v>
      </c>
      <c r="AN15" s="77" t="s">
        <v>75</v>
      </c>
      <c r="AO15" s="77" t="s">
        <v>75</v>
      </c>
      <c r="AP15" s="77"/>
    </row>
    <row r="16" spans="1:42" ht="15" customHeight="1" thickBot="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75" t="s">
        <v>116</v>
      </c>
      <c r="L16" s="142">
        <v>0</v>
      </c>
      <c r="M16" s="142">
        <f t="shared" si="0"/>
        <v>0</v>
      </c>
      <c r="N16" s="77" t="s">
        <v>117</v>
      </c>
      <c r="O16" s="142">
        <v>0</v>
      </c>
      <c r="P16" s="143">
        <f t="shared" si="1"/>
        <v>0</v>
      </c>
      <c r="R16" s="93" t="s">
        <v>165</v>
      </c>
      <c r="W16" s="80"/>
      <c r="AH16" s="75"/>
      <c r="AI16" s="77"/>
      <c r="AJ16" s="77"/>
      <c r="AK16" s="77"/>
      <c r="AL16" s="77"/>
      <c r="AM16" s="77" t="s">
        <v>75</v>
      </c>
      <c r="AN16" s="77" t="s">
        <v>75</v>
      </c>
      <c r="AO16" s="77" t="s">
        <v>75</v>
      </c>
      <c r="AP16" s="77"/>
    </row>
    <row r="17" spans="1:42" ht="15" customHeight="1" thickBot="1" x14ac:dyDescent="0.2">
      <c r="A17" s="61"/>
      <c r="B17" s="49"/>
      <c r="C17" s="49"/>
      <c r="D17" s="49"/>
      <c r="E17" s="49"/>
      <c r="F17" s="49"/>
      <c r="G17" s="49"/>
      <c r="H17" s="49"/>
      <c r="I17" s="49"/>
      <c r="J17" s="49"/>
      <c r="K17" s="75" t="s">
        <v>118</v>
      </c>
      <c r="L17" s="142">
        <v>0</v>
      </c>
      <c r="M17" s="142">
        <f t="shared" si="0"/>
        <v>0</v>
      </c>
      <c r="N17" s="77" t="s">
        <v>119</v>
      </c>
      <c r="O17" s="142">
        <v>0</v>
      </c>
      <c r="P17" s="143">
        <f t="shared" si="1"/>
        <v>0</v>
      </c>
      <c r="R17" s="80"/>
      <c r="W17" s="56"/>
      <c r="AH17" s="56"/>
    </row>
    <row r="18" spans="1:42" ht="15" customHeight="1" thickBot="1" x14ac:dyDescent="0.2">
      <c r="K18" s="75" t="s">
        <v>120</v>
      </c>
      <c r="L18" s="142">
        <v>0</v>
      </c>
      <c r="M18" s="142">
        <f t="shared" si="0"/>
        <v>0</v>
      </c>
      <c r="N18" s="77" t="s">
        <v>121</v>
      </c>
      <c r="O18" s="142">
        <v>0</v>
      </c>
      <c r="P18" s="143">
        <f t="shared" si="1"/>
        <v>0</v>
      </c>
      <c r="S18" s="56" t="s">
        <v>166</v>
      </c>
      <c r="W18" s="56" t="s">
        <v>173</v>
      </c>
      <c r="AH18" s="56" t="s">
        <v>198</v>
      </c>
    </row>
    <row r="19" spans="1:42" ht="15" customHeight="1" thickBot="1" x14ac:dyDescent="0.2">
      <c r="A19" s="56" t="s">
        <v>70</v>
      </c>
      <c r="K19" s="75" t="s">
        <v>122</v>
      </c>
      <c r="L19" s="142">
        <v>0</v>
      </c>
      <c r="M19" s="143">
        <f t="shared" si="0"/>
        <v>0</v>
      </c>
      <c r="N19" s="77" t="s">
        <v>123</v>
      </c>
      <c r="O19" s="142">
        <v>0</v>
      </c>
      <c r="P19" s="143">
        <f t="shared" si="1"/>
        <v>0</v>
      </c>
      <c r="W19" s="210" t="s">
        <v>174</v>
      </c>
      <c r="X19" s="213" t="s">
        <v>156</v>
      </c>
      <c r="Y19" s="214"/>
      <c r="Z19" s="210" t="s">
        <v>157</v>
      </c>
      <c r="AA19" s="210" t="s">
        <v>175</v>
      </c>
      <c r="AB19" s="210" t="s">
        <v>176</v>
      </c>
      <c r="AC19" s="213" t="s">
        <v>180</v>
      </c>
      <c r="AD19" s="214"/>
      <c r="AE19" s="213" t="s">
        <v>181</v>
      </c>
      <c r="AF19" s="214"/>
      <c r="AH19" s="101" t="s">
        <v>199</v>
      </c>
      <c r="AI19" s="204" t="s">
        <v>200</v>
      </c>
      <c r="AJ19" s="205"/>
      <c r="AK19" s="206"/>
      <c r="AL19" s="106" t="s">
        <v>75</v>
      </c>
      <c r="AM19" s="105"/>
      <c r="AN19" s="103"/>
    </row>
    <row r="20" spans="1:42" ht="15" customHeight="1" thickBot="1" x14ac:dyDescent="0.2">
      <c r="A20" s="57" t="s">
        <v>71</v>
      </c>
      <c r="F20" s="57" t="s">
        <v>72</v>
      </c>
      <c r="K20" s="75" t="s">
        <v>124</v>
      </c>
      <c r="L20" s="142">
        <v>0</v>
      </c>
      <c r="M20" s="142">
        <f t="shared" si="0"/>
        <v>0</v>
      </c>
      <c r="N20" s="77" t="s">
        <v>125</v>
      </c>
      <c r="O20" s="142">
        <v>0</v>
      </c>
      <c r="P20" s="143">
        <f t="shared" si="1"/>
        <v>0</v>
      </c>
      <c r="W20" s="212"/>
      <c r="X20" s="215"/>
      <c r="Y20" s="216"/>
      <c r="Z20" s="212"/>
      <c r="AA20" s="212"/>
      <c r="AB20" s="212"/>
      <c r="AC20" s="215"/>
      <c r="AD20" s="216"/>
      <c r="AE20" s="215"/>
      <c r="AF20" s="216"/>
      <c r="AH20" s="102" t="s">
        <v>201</v>
      </c>
      <c r="AI20" s="204" t="s">
        <v>202</v>
      </c>
      <c r="AJ20" s="205"/>
      <c r="AK20" s="206"/>
      <c r="AL20" s="106" t="s">
        <v>75</v>
      </c>
      <c r="AM20" s="104"/>
      <c r="AN20" s="103"/>
    </row>
    <row r="21" spans="1:42" ht="15" customHeight="1" thickBot="1" x14ac:dyDescent="0.25">
      <c r="A21" s="67" t="s">
        <v>73</v>
      </c>
      <c r="B21" s="57" t="s">
        <v>269</v>
      </c>
      <c r="C21" s="227"/>
      <c r="D21" s="227"/>
      <c r="F21" s="67" t="s">
        <v>73</v>
      </c>
      <c r="G21" s="57" t="s">
        <v>74</v>
      </c>
      <c r="I21" s="68"/>
      <c r="K21" s="75" t="s">
        <v>126</v>
      </c>
      <c r="L21" s="142">
        <v>0</v>
      </c>
      <c r="M21" s="142">
        <f t="shared" si="0"/>
        <v>0</v>
      </c>
      <c r="N21" s="77" t="s">
        <v>127</v>
      </c>
      <c r="O21" s="142">
        <v>0</v>
      </c>
      <c r="P21" s="143">
        <f t="shared" si="1"/>
        <v>0</v>
      </c>
      <c r="R21" s="93" t="s">
        <v>167</v>
      </c>
      <c r="W21" s="75"/>
      <c r="X21" s="97"/>
      <c r="Y21" s="98"/>
      <c r="Z21" s="77" t="s">
        <v>75</v>
      </c>
      <c r="AA21" s="77" t="s">
        <v>75</v>
      </c>
      <c r="AB21" s="77" t="s">
        <v>75</v>
      </c>
      <c r="AC21" s="95"/>
      <c r="AD21" s="87" t="s">
        <v>159</v>
      </c>
      <c r="AE21" s="96"/>
      <c r="AF21" s="87" t="s">
        <v>159</v>
      </c>
      <c r="AH21" s="102" t="s">
        <v>203</v>
      </c>
      <c r="AI21" s="204" t="s">
        <v>5</v>
      </c>
      <c r="AJ21" s="205"/>
      <c r="AK21" s="206"/>
      <c r="AL21" s="106" t="s">
        <v>75</v>
      </c>
      <c r="AM21" s="104"/>
      <c r="AN21" s="103"/>
    </row>
    <row r="22" spans="1:42" ht="15" customHeight="1" thickBot="1" x14ac:dyDescent="0.25">
      <c r="A22" s="67" t="s">
        <v>73</v>
      </c>
      <c r="B22" s="57" t="s">
        <v>77</v>
      </c>
      <c r="C22" s="228"/>
      <c r="D22" s="228"/>
      <c r="F22" s="67" t="s">
        <v>73</v>
      </c>
      <c r="G22" s="57" t="s">
        <v>76</v>
      </c>
      <c r="I22" s="69"/>
      <c r="K22" s="75" t="s">
        <v>128</v>
      </c>
      <c r="L22" s="142">
        <v>0</v>
      </c>
      <c r="M22" s="142">
        <f t="shared" si="0"/>
        <v>0</v>
      </c>
      <c r="N22" s="77" t="s">
        <v>129</v>
      </c>
      <c r="O22" s="142">
        <v>0</v>
      </c>
      <c r="P22" s="143">
        <f t="shared" si="1"/>
        <v>0</v>
      </c>
      <c r="R22" s="93" t="s">
        <v>168</v>
      </c>
      <c r="W22" s="75"/>
      <c r="X22" s="95"/>
      <c r="Y22" s="77"/>
      <c r="Z22" s="77" t="s">
        <v>75</v>
      </c>
      <c r="AA22" s="77" t="s">
        <v>75</v>
      </c>
      <c r="AB22" s="77" t="s">
        <v>75</v>
      </c>
      <c r="AC22" s="95"/>
      <c r="AD22" s="87" t="s">
        <v>159</v>
      </c>
      <c r="AE22" s="96"/>
      <c r="AF22" s="87" t="s">
        <v>159</v>
      </c>
      <c r="AH22" s="102" t="s">
        <v>204</v>
      </c>
      <c r="AI22" s="204" t="s">
        <v>205</v>
      </c>
      <c r="AJ22" s="205"/>
      <c r="AK22" s="206"/>
      <c r="AL22" s="106" t="s">
        <v>75</v>
      </c>
      <c r="AM22" s="104"/>
      <c r="AN22" s="103"/>
    </row>
    <row r="23" spans="1:42" ht="15" customHeight="1" thickBot="1" x14ac:dyDescent="0.2">
      <c r="K23" s="75" t="s">
        <v>130</v>
      </c>
      <c r="L23" s="142"/>
      <c r="M23" s="142">
        <f t="shared" si="0"/>
        <v>0</v>
      </c>
      <c r="N23" s="77"/>
      <c r="O23" s="142">
        <v>0</v>
      </c>
      <c r="P23" s="143">
        <f t="shared" si="1"/>
        <v>0</v>
      </c>
      <c r="W23" s="75"/>
      <c r="X23" s="95"/>
      <c r="Y23" s="77"/>
      <c r="Z23" s="77" t="s">
        <v>75</v>
      </c>
      <c r="AA23" s="77" t="s">
        <v>75</v>
      </c>
      <c r="AB23" s="77" t="s">
        <v>75</v>
      </c>
      <c r="AC23" s="95"/>
      <c r="AD23" s="87" t="s">
        <v>159</v>
      </c>
      <c r="AE23" s="96"/>
      <c r="AF23" s="87" t="s">
        <v>159</v>
      </c>
      <c r="AH23" s="102" t="s">
        <v>206</v>
      </c>
      <c r="AI23" s="204" t="s">
        <v>207</v>
      </c>
      <c r="AJ23" s="205"/>
      <c r="AK23" s="206"/>
      <c r="AL23" s="106" t="s">
        <v>75</v>
      </c>
      <c r="AM23" s="104"/>
      <c r="AN23" s="103"/>
    </row>
    <row r="24" spans="1:42" ht="22.5" customHeight="1" thickBot="1" x14ac:dyDescent="0.3">
      <c r="A24" s="55" t="s">
        <v>78</v>
      </c>
      <c r="K24" s="78" t="s">
        <v>131</v>
      </c>
      <c r="L24" s="142">
        <f>SUM(L7:L23)</f>
        <v>0</v>
      </c>
      <c r="M24" s="143">
        <f>SUM(M7:M23)</f>
        <v>0</v>
      </c>
      <c r="N24" s="79" t="s">
        <v>132</v>
      </c>
      <c r="O24" s="142">
        <f>SUM(O7:O23)</f>
        <v>0</v>
      </c>
      <c r="P24" s="143">
        <f>SUM(P7:P23)</f>
        <v>0</v>
      </c>
      <c r="W24" s="75"/>
      <c r="X24" s="95"/>
      <c r="Y24" s="77"/>
      <c r="Z24" s="77" t="s">
        <v>75</v>
      </c>
      <c r="AA24" s="77" t="s">
        <v>75</v>
      </c>
      <c r="AB24" s="77" t="s">
        <v>75</v>
      </c>
      <c r="AC24" s="95"/>
      <c r="AD24" s="87" t="s">
        <v>159</v>
      </c>
      <c r="AE24" s="96"/>
      <c r="AF24" s="87" t="s">
        <v>159</v>
      </c>
      <c r="AH24" s="102"/>
      <c r="AI24" s="207" t="s">
        <v>208</v>
      </c>
      <c r="AJ24" s="208"/>
      <c r="AK24" s="209"/>
      <c r="AL24" s="106" t="s">
        <v>75</v>
      </c>
      <c r="AM24" s="104"/>
      <c r="AN24" s="103"/>
    </row>
    <row r="25" spans="1:42" ht="20" thickBot="1" x14ac:dyDescent="0.2">
      <c r="A25" s="58"/>
      <c r="B25" s="218" t="s">
        <v>65</v>
      </c>
      <c r="C25" s="219"/>
      <c r="D25" s="219"/>
      <c r="E25" s="219"/>
      <c r="F25" s="59" t="s">
        <v>79</v>
      </c>
      <c r="G25" s="224" t="s">
        <v>80</v>
      </c>
      <c r="H25" s="226"/>
      <c r="I25" s="224" t="s">
        <v>81</v>
      </c>
      <c r="J25" s="225"/>
      <c r="K25" s="80"/>
      <c r="W25" s="75"/>
      <c r="X25" s="95"/>
      <c r="Y25" s="77"/>
      <c r="Z25" s="77" t="s">
        <v>75</v>
      </c>
      <c r="AA25" s="77" t="s">
        <v>75</v>
      </c>
      <c r="AB25" s="77" t="s">
        <v>75</v>
      </c>
      <c r="AC25" s="95"/>
      <c r="AD25" s="87" t="s">
        <v>159</v>
      </c>
      <c r="AE25" s="96"/>
      <c r="AF25" s="87" t="s">
        <v>159</v>
      </c>
      <c r="AH25" s="56"/>
    </row>
    <row r="26" spans="1:42" ht="15" customHeight="1" thickBot="1" x14ac:dyDescent="0.2">
      <c r="A26" s="60">
        <v>1</v>
      </c>
      <c r="B26" s="218"/>
      <c r="C26" s="219"/>
      <c r="D26" s="219"/>
      <c r="E26" s="219"/>
      <c r="F26" s="71"/>
      <c r="G26" s="224"/>
      <c r="H26" s="232"/>
      <c r="I26" s="224"/>
      <c r="J26" s="225"/>
      <c r="K26" s="85" t="s">
        <v>133</v>
      </c>
      <c r="L26" s="85"/>
      <c r="M26" s="85"/>
      <c r="N26" s="85" t="s">
        <v>134</v>
      </c>
      <c r="O26" s="88"/>
      <c r="P26" s="88"/>
      <c r="W26" s="75"/>
      <c r="X26" s="95"/>
      <c r="Y26" s="77"/>
      <c r="Z26" s="77" t="s">
        <v>75</v>
      </c>
      <c r="AA26" s="77" t="s">
        <v>75</v>
      </c>
      <c r="AB26" s="77" t="s">
        <v>75</v>
      </c>
      <c r="AC26" s="95"/>
      <c r="AD26" s="87" t="s">
        <v>159</v>
      </c>
      <c r="AE26" s="96"/>
      <c r="AF26" s="87" t="s">
        <v>159</v>
      </c>
      <c r="AH26" s="56" t="s">
        <v>209</v>
      </c>
    </row>
    <row r="27" spans="1:42" ht="15" customHeight="1" thickBot="1" x14ac:dyDescent="0.2">
      <c r="A27" s="60">
        <v>2</v>
      </c>
      <c r="B27" s="218"/>
      <c r="C27" s="219"/>
      <c r="D27" s="219"/>
      <c r="E27" s="219"/>
      <c r="F27" s="70"/>
      <c r="G27" s="224"/>
      <c r="H27" s="232"/>
      <c r="I27" s="224"/>
      <c r="J27" s="225"/>
      <c r="K27" s="82"/>
      <c r="L27" s="76" t="s">
        <v>97</v>
      </c>
      <c r="M27" s="83" t="s">
        <v>98</v>
      </c>
      <c r="N27" s="84"/>
      <c r="O27" s="83" t="s">
        <v>97</v>
      </c>
      <c r="P27" s="83" t="s">
        <v>98</v>
      </c>
      <c r="W27" s="75"/>
      <c r="X27" s="95"/>
      <c r="Y27" s="77"/>
      <c r="Z27" s="77" t="s">
        <v>75</v>
      </c>
      <c r="AA27" s="77" t="s">
        <v>75</v>
      </c>
      <c r="AB27" s="77" t="s">
        <v>75</v>
      </c>
      <c r="AC27" s="95"/>
      <c r="AD27" s="87" t="s">
        <v>159</v>
      </c>
      <c r="AE27" s="96"/>
      <c r="AF27" s="87" t="s">
        <v>159</v>
      </c>
      <c r="AH27" s="49"/>
      <c r="AI27" s="49"/>
      <c r="AJ27" s="49"/>
      <c r="AK27" s="49"/>
      <c r="AM27" s="49"/>
      <c r="AN27" s="49"/>
      <c r="AO27" s="49"/>
      <c r="AP27" s="49"/>
    </row>
    <row r="28" spans="1:42" ht="15" customHeight="1" thickBot="1" x14ac:dyDescent="0.2">
      <c r="A28" s="60">
        <v>3</v>
      </c>
      <c r="B28" s="218"/>
      <c r="C28" s="219"/>
      <c r="D28" s="219"/>
      <c r="E28" s="219"/>
      <c r="F28" s="59"/>
      <c r="G28" s="224"/>
      <c r="H28" s="226"/>
      <c r="I28" s="224"/>
      <c r="J28" s="225"/>
      <c r="K28" s="75" t="s">
        <v>135</v>
      </c>
      <c r="L28" s="142">
        <v>0</v>
      </c>
      <c r="M28" s="142">
        <f t="shared" ref="M28:M38" si="2">L28*12</f>
        <v>0</v>
      </c>
      <c r="N28" s="77" t="s">
        <v>136</v>
      </c>
      <c r="O28" s="142">
        <v>0</v>
      </c>
      <c r="P28" s="142">
        <f t="shared" ref="P28:P36" si="3">O28*12</f>
        <v>0</v>
      </c>
      <c r="W28" s="75"/>
      <c r="X28" s="95"/>
      <c r="Y28" s="77"/>
      <c r="Z28" s="77" t="s">
        <v>75</v>
      </c>
      <c r="AA28" s="77" t="s">
        <v>75</v>
      </c>
      <c r="AB28" s="77" t="s">
        <v>75</v>
      </c>
      <c r="AC28" s="95"/>
      <c r="AD28" s="87" t="s">
        <v>159</v>
      </c>
      <c r="AE28" s="96"/>
      <c r="AF28" s="87" t="s">
        <v>159</v>
      </c>
      <c r="AH28" s="63"/>
      <c r="AI28" s="63"/>
      <c r="AJ28" s="63"/>
      <c r="AK28" s="63"/>
      <c r="AM28" s="63"/>
      <c r="AN28" s="63"/>
      <c r="AO28" s="63"/>
      <c r="AP28" s="63"/>
    </row>
    <row r="29" spans="1:42" ht="15" customHeight="1" thickBot="1" x14ac:dyDescent="0.2">
      <c r="A29" s="60">
        <v>4</v>
      </c>
      <c r="B29" s="218"/>
      <c r="C29" s="219"/>
      <c r="D29" s="219"/>
      <c r="E29" s="219"/>
      <c r="F29" s="71"/>
      <c r="G29" s="224"/>
      <c r="H29" s="232"/>
      <c r="I29" s="224"/>
      <c r="J29" s="225"/>
      <c r="K29" s="75" t="s">
        <v>137</v>
      </c>
      <c r="L29" s="142">
        <v>0</v>
      </c>
      <c r="M29" s="142">
        <f t="shared" si="2"/>
        <v>0</v>
      </c>
      <c r="N29" s="77" t="s">
        <v>138</v>
      </c>
      <c r="O29" s="142">
        <v>0</v>
      </c>
      <c r="P29" s="142">
        <f t="shared" si="3"/>
        <v>0</v>
      </c>
      <c r="W29" s="75"/>
      <c r="X29" s="95"/>
      <c r="Y29" s="77"/>
      <c r="Z29" s="77" t="s">
        <v>75</v>
      </c>
      <c r="AA29" s="77" t="s">
        <v>75</v>
      </c>
      <c r="AB29" s="77" t="s">
        <v>75</v>
      </c>
      <c r="AC29" s="95"/>
      <c r="AD29" s="87" t="s">
        <v>159</v>
      </c>
      <c r="AE29" s="96"/>
      <c r="AF29" s="87" t="s">
        <v>159</v>
      </c>
      <c r="AH29" s="63"/>
      <c r="AI29" s="63"/>
      <c r="AJ29" s="63"/>
      <c r="AK29" s="63"/>
      <c r="AM29" s="63"/>
      <c r="AN29" s="63"/>
      <c r="AO29" s="63"/>
      <c r="AP29" s="63"/>
    </row>
    <row r="30" spans="1:42" ht="15" customHeight="1" thickBot="1" x14ac:dyDescent="0.2">
      <c r="A30" s="60">
        <v>5</v>
      </c>
      <c r="B30" s="218"/>
      <c r="C30" s="219"/>
      <c r="D30" s="219"/>
      <c r="E30" s="219"/>
      <c r="F30" s="70"/>
      <c r="G30" s="224"/>
      <c r="H30" s="232"/>
      <c r="I30" s="224"/>
      <c r="J30" s="225"/>
      <c r="K30" s="75" t="s">
        <v>139</v>
      </c>
      <c r="L30" s="142">
        <v>0</v>
      </c>
      <c r="M30" s="142">
        <f t="shared" si="2"/>
        <v>0</v>
      </c>
      <c r="N30" s="77" t="s">
        <v>140</v>
      </c>
      <c r="O30" s="142">
        <v>0</v>
      </c>
      <c r="P30" s="142">
        <f t="shared" si="3"/>
        <v>0</v>
      </c>
      <c r="W30" s="75"/>
      <c r="X30" s="95" t="s">
        <v>177</v>
      </c>
      <c r="Y30" s="77"/>
      <c r="Z30" s="77" t="s">
        <v>75</v>
      </c>
      <c r="AA30" s="77" t="s">
        <v>75</v>
      </c>
      <c r="AB30" s="77" t="s">
        <v>75</v>
      </c>
      <c r="AC30" s="95"/>
      <c r="AD30" s="87" t="s">
        <v>159</v>
      </c>
      <c r="AE30" s="96"/>
      <c r="AF30" s="87" t="s">
        <v>159</v>
      </c>
      <c r="AH30" s="63"/>
      <c r="AI30" s="63"/>
      <c r="AJ30" s="63"/>
      <c r="AK30" s="63"/>
      <c r="AM30" s="63"/>
      <c r="AN30" s="63"/>
      <c r="AO30" s="63"/>
      <c r="AP30" s="63"/>
    </row>
    <row r="31" spans="1:42" ht="15" customHeight="1" thickBot="1" x14ac:dyDescent="0.2">
      <c r="K31" s="75" t="s">
        <v>141</v>
      </c>
      <c r="L31" s="142">
        <v>0</v>
      </c>
      <c r="M31" s="142">
        <f t="shared" si="2"/>
        <v>0</v>
      </c>
      <c r="N31" s="77" t="s">
        <v>142</v>
      </c>
      <c r="O31" s="142">
        <v>0</v>
      </c>
      <c r="P31" s="142">
        <f t="shared" si="3"/>
        <v>0</v>
      </c>
      <c r="W31" s="75"/>
      <c r="X31" s="95" t="s">
        <v>178</v>
      </c>
      <c r="Y31" s="77"/>
      <c r="Z31" s="77" t="s">
        <v>75</v>
      </c>
      <c r="AA31" s="77" t="s">
        <v>75</v>
      </c>
      <c r="AB31" s="77" t="s">
        <v>75</v>
      </c>
      <c r="AC31" s="95"/>
      <c r="AD31" s="87" t="s">
        <v>159</v>
      </c>
      <c r="AE31" s="96"/>
      <c r="AF31" s="87" t="s">
        <v>159</v>
      </c>
      <c r="AH31" s="63"/>
      <c r="AI31" s="63"/>
      <c r="AJ31" s="63"/>
      <c r="AK31" s="63"/>
      <c r="AM31" s="63"/>
      <c r="AN31" s="63"/>
      <c r="AO31" s="63"/>
      <c r="AP31" s="63"/>
    </row>
    <row r="32" spans="1:42" ht="15" customHeight="1" thickBot="1" x14ac:dyDescent="0.3">
      <c r="A32" s="55" t="s">
        <v>82</v>
      </c>
      <c r="K32" s="75" t="s">
        <v>143</v>
      </c>
      <c r="L32" s="142">
        <v>0</v>
      </c>
      <c r="M32" s="142">
        <f t="shared" si="2"/>
        <v>0</v>
      </c>
      <c r="N32" s="77" t="s">
        <v>144</v>
      </c>
      <c r="O32" s="142">
        <v>0</v>
      </c>
      <c r="P32" s="142">
        <f t="shared" si="3"/>
        <v>0</v>
      </c>
      <c r="W32" s="75"/>
      <c r="X32" s="95" t="s">
        <v>179</v>
      </c>
      <c r="Y32" s="77"/>
      <c r="Z32" s="77" t="s">
        <v>75</v>
      </c>
      <c r="AA32" s="77" t="s">
        <v>75</v>
      </c>
      <c r="AB32" s="77" t="s">
        <v>75</v>
      </c>
      <c r="AC32" s="95"/>
      <c r="AD32" s="87" t="s">
        <v>159</v>
      </c>
      <c r="AE32" s="96"/>
      <c r="AF32" s="87" t="s">
        <v>159</v>
      </c>
    </row>
    <row r="33" spans="1:42" ht="15" customHeight="1" thickBot="1" x14ac:dyDescent="0.2">
      <c r="A33" s="233"/>
      <c r="B33" s="236" t="s">
        <v>83</v>
      </c>
      <c r="C33" s="237"/>
      <c r="D33" s="236" t="s">
        <v>84</v>
      </c>
      <c r="E33" s="237"/>
      <c r="F33" s="229" t="s">
        <v>85</v>
      </c>
      <c r="G33" s="229" t="s">
        <v>86</v>
      </c>
      <c r="H33" s="229" t="s">
        <v>87</v>
      </c>
      <c r="I33" s="229" t="s">
        <v>88</v>
      </c>
      <c r="K33" s="75" t="s">
        <v>145</v>
      </c>
      <c r="L33" s="142">
        <v>0</v>
      </c>
      <c r="M33" s="142">
        <f t="shared" si="2"/>
        <v>0</v>
      </c>
      <c r="N33" s="77" t="s">
        <v>146</v>
      </c>
      <c r="O33" s="142">
        <v>0</v>
      </c>
      <c r="P33" s="142">
        <f t="shared" si="3"/>
        <v>0</v>
      </c>
      <c r="W33" s="56"/>
      <c r="AH33" s="56" t="s">
        <v>210</v>
      </c>
    </row>
    <row r="34" spans="1:42" ht="15" customHeight="1" thickBot="1" x14ac:dyDescent="0.2">
      <c r="A34" s="234"/>
      <c r="B34" s="238"/>
      <c r="C34" s="239"/>
      <c r="D34" s="238"/>
      <c r="E34" s="239"/>
      <c r="F34" s="230"/>
      <c r="G34" s="230"/>
      <c r="H34" s="230"/>
      <c r="I34" s="230"/>
      <c r="K34" s="75" t="s">
        <v>147</v>
      </c>
      <c r="L34" s="142">
        <v>0</v>
      </c>
      <c r="M34" s="142">
        <f t="shared" si="2"/>
        <v>0</v>
      </c>
      <c r="N34" s="77" t="s">
        <v>148</v>
      </c>
      <c r="O34" s="142">
        <v>0</v>
      </c>
      <c r="P34" s="142">
        <f t="shared" si="3"/>
        <v>0</v>
      </c>
      <c r="AH34" s="47"/>
      <c r="AI34" s="63"/>
      <c r="AJ34" s="63"/>
      <c r="AK34" s="63"/>
      <c r="AL34" s="63"/>
      <c r="AM34" s="63"/>
      <c r="AN34" s="63"/>
      <c r="AO34" s="63"/>
      <c r="AP34" s="72"/>
    </row>
    <row r="35" spans="1:42" ht="15" customHeight="1" thickBot="1" x14ac:dyDescent="0.2">
      <c r="A35" s="235"/>
      <c r="B35" s="240"/>
      <c r="C35" s="241"/>
      <c r="D35" s="240"/>
      <c r="E35" s="241"/>
      <c r="F35" s="231"/>
      <c r="G35" s="231"/>
      <c r="H35" s="231"/>
      <c r="I35" s="231"/>
      <c r="K35" s="75" t="s">
        <v>149</v>
      </c>
      <c r="L35" s="142">
        <v>0</v>
      </c>
      <c r="M35" s="142">
        <f t="shared" si="2"/>
        <v>0</v>
      </c>
      <c r="N35" s="77" t="s">
        <v>150</v>
      </c>
      <c r="O35" s="142">
        <v>0</v>
      </c>
      <c r="P35" s="142">
        <f t="shared" si="3"/>
        <v>0</v>
      </c>
      <c r="AH35" s="47"/>
      <c r="AI35" s="63"/>
      <c r="AJ35" s="63"/>
      <c r="AK35" s="63"/>
      <c r="AL35" s="63"/>
      <c r="AM35" s="63"/>
      <c r="AN35" s="63"/>
      <c r="AO35" s="63"/>
      <c r="AP35" s="72"/>
    </row>
    <row r="36" spans="1:42" ht="15" customHeight="1" thickBot="1" x14ac:dyDescent="0.2">
      <c r="A36" s="60">
        <v>1</v>
      </c>
      <c r="B36" s="218"/>
      <c r="C36" s="219"/>
      <c r="D36" s="47"/>
      <c r="E36" s="72"/>
      <c r="F36" s="60"/>
      <c r="G36" s="58"/>
      <c r="H36" s="58"/>
      <c r="I36" s="58"/>
      <c r="K36" s="75" t="s">
        <v>50</v>
      </c>
      <c r="L36" s="142">
        <v>0</v>
      </c>
      <c r="M36" s="142">
        <f t="shared" si="2"/>
        <v>0</v>
      </c>
      <c r="N36" s="77" t="s">
        <v>151</v>
      </c>
      <c r="O36" s="142">
        <v>0</v>
      </c>
      <c r="P36" s="142">
        <f t="shared" si="3"/>
        <v>0</v>
      </c>
      <c r="AH36" s="47"/>
      <c r="AI36" s="63"/>
      <c r="AJ36" s="63"/>
      <c r="AK36" s="63"/>
      <c r="AL36" s="63"/>
      <c r="AM36" s="63"/>
      <c r="AN36" s="63"/>
      <c r="AO36" s="63"/>
      <c r="AP36" s="72"/>
    </row>
    <row r="37" spans="1:42" ht="15" customHeight="1" thickBot="1" x14ac:dyDescent="0.2">
      <c r="A37" s="60">
        <v>2</v>
      </c>
      <c r="B37" s="219"/>
      <c r="C37" s="219"/>
      <c r="D37" s="47"/>
      <c r="E37" s="72"/>
      <c r="F37" s="60"/>
      <c r="G37" s="58"/>
      <c r="H37" s="58"/>
      <c r="I37" s="58"/>
      <c r="K37" s="75" t="s">
        <v>152</v>
      </c>
      <c r="L37" s="142">
        <v>0</v>
      </c>
      <c r="M37" s="142">
        <f t="shared" si="2"/>
        <v>0</v>
      </c>
      <c r="N37" s="79" t="s">
        <v>153</v>
      </c>
      <c r="O37" s="142">
        <f>SUM(O28:O36)</f>
        <v>0</v>
      </c>
      <c r="P37" s="143">
        <f>SUM(P28:P36)</f>
        <v>0</v>
      </c>
      <c r="AH37" s="47"/>
      <c r="AI37" s="63"/>
      <c r="AJ37" s="63"/>
      <c r="AK37" s="63"/>
      <c r="AL37" s="63"/>
      <c r="AM37" s="63"/>
      <c r="AN37" s="63"/>
      <c r="AO37" s="63"/>
      <c r="AP37" s="72"/>
    </row>
    <row r="38" spans="1:42" ht="17" thickBot="1" x14ac:dyDescent="0.2">
      <c r="A38" s="60">
        <v>3</v>
      </c>
      <c r="B38" s="219"/>
      <c r="C38" s="219"/>
      <c r="D38" s="47"/>
      <c r="E38" s="72"/>
      <c r="F38" s="58"/>
      <c r="G38" s="58"/>
      <c r="H38" s="58"/>
      <c r="I38" s="58"/>
      <c r="K38" s="75" t="s">
        <v>154</v>
      </c>
      <c r="L38" s="142">
        <v>0</v>
      </c>
      <c r="M38" s="142">
        <f t="shared" si="2"/>
        <v>0</v>
      </c>
      <c r="N38" s="77"/>
      <c r="O38" s="77"/>
      <c r="P38" s="77"/>
      <c r="AH38" s="47"/>
      <c r="AI38" s="63"/>
      <c r="AJ38" s="63"/>
      <c r="AK38" s="63"/>
      <c r="AL38" s="63"/>
      <c r="AM38" s="63"/>
      <c r="AN38" s="63"/>
      <c r="AO38" s="63"/>
      <c r="AP38" s="72"/>
    </row>
    <row r="39" spans="1:42" ht="17" thickBot="1" x14ac:dyDescent="0.2">
      <c r="A39" s="60">
        <v>4</v>
      </c>
      <c r="B39" s="219"/>
      <c r="C39" s="219"/>
      <c r="D39" s="47"/>
      <c r="E39" s="72"/>
      <c r="F39" s="58"/>
      <c r="G39" s="58"/>
      <c r="H39" s="58"/>
      <c r="I39" s="58"/>
      <c r="K39" s="78" t="s">
        <v>155</v>
      </c>
      <c r="L39" s="142">
        <f>SUM(L28:L38)</f>
        <v>0</v>
      </c>
      <c r="M39" s="143">
        <f>SUM(M28:M38)</f>
        <v>0</v>
      </c>
      <c r="N39" s="77"/>
      <c r="O39" s="77"/>
      <c r="P39" s="77"/>
      <c r="AH39" s="47"/>
      <c r="AI39" s="63"/>
      <c r="AJ39" s="63"/>
      <c r="AK39" s="63"/>
      <c r="AL39" s="63"/>
      <c r="AM39" s="63"/>
      <c r="AN39" s="63"/>
      <c r="AO39" s="63"/>
      <c r="AP39" s="72"/>
    </row>
    <row r="40" spans="1:42" x14ac:dyDescent="0.15">
      <c r="A40" s="60">
        <v>5</v>
      </c>
      <c r="B40" s="219"/>
      <c r="C40" s="219"/>
      <c r="D40" s="47"/>
      <c r="E40" s="72"/>
      <c r="F40" s="58"/>
      <c r="G40" s="58"/>
      <c r="H40" s="58"/>
      <c r="I40" s="58"/>
    </row>
  </sheetData>
  <mergeCells count="71">
    <mergeCell ref="A33:A35"/>
    <mergeCell ref="W19:W20"/>
    <mergeCell ref="Z19:Z20"/>
    <mergeCell ref="AA19:AA20"/>
    <mergeCell ref="H33:H35"/>
    <mergeCell ref="I33:I35"/>
    <mergeCell ref="G28:H28"/>
    <mergeCell ref="I28:J28"/>
    <mergeCell ref="F33:F35"/>
    <mergeCell ref="X19:Y20"/>
    <mergeCell ref="D33:E35"/>
    <mergeCell ref="B30:E30"/>
    <mergeCell ref="G30:H30"/>
    <mergeCell ref="B33:C35"/>
    <mergeCell ref="B28:E28"/>
    <mergeCell ref="B27:E27"/>
    <mergeCell ref="AL5:AL6"/>
    <mergeCell ref="AM5:AM6"/>
    <mergeCell ref="AN5:AN6"/>
    <mergeCell ref="AI5:AI6"/>
    <mergeCell ref="AJ5:AJ6"/>
    <mergeCell ref="AK5:AK6"/>
    <mergeCell ref="AO5:AO6"/>
    <mergeCell ref="AP5:AP6"/>
    <mergeCell ref="B40:C40"/>
    <mergeCell ref="B37:C37"/>
    <mergeCell ref="B38:C38"/>
    <mergeCell ref="B39:C39"/>
    <mergeCell ref="I25:J25"/>
    <mergeCell ref="I30:J30"/>
    <mergeCell ref="B36:C36"/>
    <mergeCell ref="B26:E26"/>
    <mergeCell ref="B29:E29"/>
    <mergeCell ref="G33:G35"/>
    <mergeCell ref="G27:H27"/>
    <mergeCell ref="I29:J29"/>
    <mergeCell ref="G29:H29"/>
    <mergeCell ref="G26:H26"/>
    <mergeCell ref="I26:J26"/>
    <mergeCell ref="I27:J27"/>
    <mergeCell ref="B25:E25"/>
    <mergeCell ref="G25:H25"/>
    <mergeCell ref="B6:E6"/>
    <mergeCell ref="B7:E7"/>
    <mergeCell ref="C21:D21"/>
    <mergeCell ref="C22:D22"/>
    <mergeCell ref="X5:X8"/>
    <mergeCell ref="AA5:AA8"/>
    <mergeCell ref="AB5:AB8"/>
    <mergeCell ref="B2:D2"/>
    <mergeCell ref="B5:E5"/>
    <mergeCell ref="H5:J5"/>
    <mergeCell ref="W5:W8"/>
    <mergeCell ref="H6:J6"/>
    <mergeCell ref="H7:J7"/>
    <mergeCell ref="AI22:AK22"/>
    <mergeCell ref="AI23:AK23"/>
    <mergeCell ref="AI24:AK24"/>
    <mergeCell ref="AI19:AK19"/>
    <mergeCell ref="Y5:Y8"/>
    <mergeCell ref="Z5:Z8"/>
    <mergeCell ref="AC19:AD20"/>
    <mergeCell ref="AE19:AF20"/>
    <mergeCell ref="AI21:AK21"/>
    <mergeCell ref="AB19:AB20"/>
    <mergeCell ref="AE5:AE8"/>
    <mergeCell ref="AF5:AF8"/>
    <mergeCell ref="AH5:AH6"/>
    <mergeCell ref="AC5:AC8"/>
    <mergeCell ref="AI20:AK20"/>
    <mergeCell ref="AD5:AD8"/>
  </mergeCells>
  <printOptions horizontalCentered="1"/>
  <pageMargins left="0.5" right="0.25" top="0.75" bottom="0.75" header="0.3" footer="0.3"/>
  <pageSetup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4"/>
  <sheetViews>
    <sheetView workbookViewId="0">
      <selection activeCell="J4" sqref="J4"/>
    </sheetView>
  </sheetViews>
  <sheetFormatPr baseColWidth="10" defaultColWidth="8.83203125" defaultRowHeight="13" x14ac:dyDescent="0.15"/>
  <cols>
    <col min="2" max="2" width="33" customWidth="1"/>
  </cols>
  <sheetData>
    <row r="2" spans="2:8" x14ac:dyDescent="0.15">
      <c r="B2" s="57" t="s">
        <v>240</v>
      </c>
    </row>
    <row r="4" spans="2:8" x14ac:dyDescent="0.15">
      <c r="B4" s="57" t="s">
        <v>256</v>
      </c>
      <c r="C4" s="131" t="s">
        <v>245</v>
      </c>
      <c r="D4" s="131" t="s">
        <v>246</v>
      </c>
      <c r="E4" s="131" t="s">
        <v>247</v>
      </c>
      <c r="F4" s="131" t="s">
        <v>248</v>
      </c>
      <c r="G4" s="131" t="s">
        <v>249</v>
      </c>
      <c r="H4" s="131" t="s">
        <v>7</v>
      </c>
    </row>
    <row r="5" spans="2:8" x14ac:dyDescent="0.15">
      <c r="B5" s="57" t="s">
        <v>255</v>
      </c>
      <c r="C5" s="131">
        <v>12</v>
      </c>
      <c r="D5" s="131">
        <v>15</v>
      </c>
      <c r="E5" s="131">
        <v>15</v>
      </c>
      <c r="F5" s="131">
        <v>12</v>
      </c>
      <c r="G5" s="131">
        <v>6</v>
      </c>
      <c r="H5" s="131">
        <v>60</v>
      </c>
    </row>
    <row r="6" spans="2:8" x14ac:dyDescent="0.15">
      <c r="B6" s="57" t="s">
        <v>254</v>
      </c>
      <c r="C6" s="134">
        <v>7680</v>
      </c>
      <c r="D6" s="134">
        <v>9600</v>
      </c>
      <c r="E6" s="134">
        <v>9600</v>
      </c>
      <c r="F6" s="134">
        <v>7680</v>
      </c>
      <c r="G6" s="134">
        <v>3840</v>
      </c>
      <c r="H6" s="134">
        <v>38400</v>
      </c>
    </row>
    <row r="7" spans="2:8" x14ac:dyDescent="0.15">
      <c r="B7" s="57" t="s">
        <v>253</v>
      </c>
      <c r="C7" s="134">
        <v>420</v>
      </c>
      <c r="D7" s="134">
        <v>420</v>
      </c>
      <c r="E7" s="134">
        <v>420</v>
      </c>
      <c r="F7" s="134">
        <v>420</v>
      </c>
      <c r="G7" s="134">
        <v>210</v>
      </c>
      <c r="H7" s="134">
        <v>1890</v>
      </c>
    </row>
    <row r="8" spans="2:8" x14ac:dyDescent="0.15">
      <c r="B8" s="57" t="s">
        <v>250</v>
      </c>
      <c r="C8" s="134">
        <v>400</v>
      </c>
      <c r="D8" s="134">
        <v>0</v>
      </c>
      <c r="E8" s="134">
        <v>0</v>
      </c>
      <c r="F8" s="134">
        <v>0</v>
      </c>
      <c r="G8" s="134">
        <v>0</v>
      </c>
      <c r="H8" s="134">
        <v>400</v>
      </c>
    </row>
    <row r="9" spans="2:8" x14ac:dyDescent="0.15">
      <c r="B9" s="57" t="s">
        <v>251</v>
      </c>
      <c r="C9" s="134">
        <v>0</v>
      </c>
      <c r="D9" s="134">
        <v>950</v>
      </c>
      <c r="E9" s="134">
        <v>950</v>
      </c>
      <c r="F9" s="134">
        <v>0</v>
      </c>
      <c r="G9" s="134">
        <v>150</v>
      </c>
      <c r="H9" s="134">
        <v>2050</v>
      </c>
    </row>
    <row r="10" spans="2:8" x14ac:dyDescent="0.15">
      <c r="B10" s="57" t="s">
        <v>252</v>
      </c>
      <c r="C10" s="134">
        <v>8500</v>
      </c>
      <c r="D10" s="134">
        <v>10970</v>
      </c>
      <c r="E10" s="134">
        <v>10970</v>
      </c>
      <c r="F10" s="134">
        <v>8100</v>
      </c>
      <c r="G10" s="134">
        <v>4200</v>
      </c>
      <c r="H10" s="134">
        <v>42740</v>
      </c>
    </row>
    <row r="12" spans="2:8" x14ac:dyDescent="0.15">
      <c r="B12" s="57" t="s">
        <v>241</v>
      </c>
    </row>
    <row r="13" spans="2:8" x14ac:dyDescent="0.15">
      <c r="B13" s="57" t="s">
        <v>257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  <c r="H13" s="134">
        <v>0</v>
      </c>
    </row>
    <row r="14" spans="2:8" x14ac:dyDescent="0.15">
      <c r="B14" s="57" t="s">
        <v>242</v>
      </c>
    </row>
    <row r="18" spans="2:8" x14ac:dyDescent="0.15">
      <c r="B18" s="57" t="s">
        <v>243</v>
      </c>
    </row>
    <row r="19" spans="2:8" x14ac:dyDescent="0.15">
      <c r="B19" s="57" t="s">
        <v>258</v>
      </c>
      <c r="C19" s="134">
        <v>8500</v>
      </c>
      <c r="D19" s="134">
        <v>10970</v>
      </c>
      <c r="E19" s="134">
        <v>10970</v>
      </c>
      <c r="F19" s="134">
        <v>8100</v>
      </c>
      <c r="G19" s="134">
        <v>4200</v>
      </c>
      <c r="H19" s="134">
        <v>42740</v>
      </c>
    </row>
    <row r="20" spans="2:8" x14ac:dyDescent="0.15">
      <c r="B20" s="57" t="s">
        <v>259</v>
      </c>
      <c r="C20" s="134">
        <v>8500</v>
      </c>
      <c r="D20" s="134">
        <v>10970</v>
      </c>
      <c r="E20" s="134">
        <v>10970</v>
      </c>
      <c r="F20" s="134">
        <v>8100</v>
      </c>
      <c r="G20" s="134">
        <v>4200</v>
      </c>
      <c r="H20" s="134">
        <v>42740</v>
      </c>
    </row>
    <row r="22" spans="2:8" x14ac:dyDescent="0.15">
      <c r="B22" t="s">
        <v>244</v>
      </c>
    </row>
    <row r="23" spans="2:8" x14ac:dyDescent="0.15">
      <c r="B23" s="57" t="s">
        <v>260</v>
      </c>
      <c r="C23" s="134">
        <v>8500</v>
      </c>
      <c r="D23" s="134">
        <v>10970</v>
      </c>
      <c r="E23" s="134">
        <v>10970</v>
      </c>
      <c r="F23" s="134">
        <v>8100</v>
      </c>
      <c r="G23" s="134">
        <v>4200</v>
      </c>
      <c r="H23" s="134">
        <v>42740</v>
      </c>
    </row>
    <row r="24" spans="2:8" x14ac:dyDescent="0.15">
      <c r="B24" s="57" t="s">
        <v>259</v>
      </c>
      <c r="C24" s="134">
        <v>8500</v>
      </c>
      <c r="D24" s="134">
        <v>10970</v>
      </c>
      <c r="E24" s="134">
        <v>10970</v>
      </c>
      <c r="F24" s="134">
        <v>8100</v>
      </c>
      <c r="G24" s="134">
        <v>4200</v>
      </c>
      <c r="H24" s="134">
        <v>42740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4"/>
  <sheetViews>
    <sheetView workbookViewId="0">
      <selection activeCell="F13" sqref="F13"/>
    </sheetView>
  </sheetViews>
  <sheetFormatPr baseColWidth="10" defaultColWidth="8.83203125" defaultRowHeight="13" x14ac:dyDescent="0.15"/>
  <cols>
    <col min="2" max="2" width="13.33203125" customWidth="1"/>
    <col min="3" max="3" width="18" customWidth="1"/>
    <col min="4" max="4" width="10.1640625" customWidth="1"/>
    <col min="5" max="5" width="18.33203125" customWidth="1"/>
    <col min="6" max="6" width="10.1640625" bestFit="1" customWidth="1"/>
    <col min="8" max="8" width="10.1640625" bestFit="1" customWidth="1"/>
  </cols>
  <sheetData>
    <row r="2" spans="1:8" x14ac:dyDescent="0.15">
      <c r="A2" s="180">
        <f>SUM(A3:A34)</f>
        <v>0.99999999999999978</v>
      </c>
      <c r="B2" t="s">
        <v>305</v>
      </c>
      <c r="D2" s="177" t="s">
        <v>172</v>
      </c>
      <c r="E2" t="s">
        <v>335</v>
      </c>
    </row>
    <row r="3" spans="1:8" x14ac:dyDescent="0.15">
      <c r="A3" s="19">
        <v>0</v>
      </c>
      <c r="B3" t="s">
        <v>306</v>
      </c>
      <c r="C3" s="178">
        <v>24133</v>
      </c>
      <c r="D3" s="5">
        <v>0</v>
      </c>
      <c r="E3" t="s">
        <v>336</v>
      </c>
      <c r="F3" s="5">
        <f>G3*H3</f>
        <v>360000</v>
      </c>
      <c r="G3">
        <v>180</v>
      </c>
      <c r="H3">
        <v>2000</v>
      </c>
    </row>
    <row r="4" spans="1:8" x14ac:dyDescent="0.15">
      <c r="A4" s="19">
        <v>0</v>
      </c>
      <c r="B4" t="s">
        <v>307</v>
      </c>
      <c r="C4" s="178">
        <v>25038</v>
      </c>
      <c r="D4" s="5">
        <v>0</v>
      </c>
      <c r="E4" t="s">
        <v>338</v>
      </c>
      <c r="F4" s="5">
        <f>G4*H4</f>
        <v>120000</v>
      </c>
      <c r="G4">
        <v>30</v>
      </c>
      <c r="H4">
        <v>4000</v>
      </c>
    </row>
    <row r="5" spans="1:8" x14ac:dyDescent="0.15">
      <c r="A5" s="19">
        <v>0.05</v>
      </c>
      <c r="B5" t="s">
        <v>308</v>
      </c>
      <c r="C5" s="178">
        <v>25626</v>
      </c>
      <c r="D5" s="5">
        <v>54000</v>
      </c>
      <c r="E5" t="s">
        <v>337</v>
      </c>
      <c r="F5" s="5">
        <v>350000</v>
      </c>
    </row>
    <row r="6" spans="1:8" x14ac:dyDescent="0.15">
      <c r="A6" s="19">
        <v>0.1</v>
      </c>
      <c r="B6" t="s">
        <v>309</v>
      </c>
      <c r="C6" s="178">
        <v>27397</v>
      </c>
      <c r="D6" s="5">
        <v>60000</v>
      </c>
      <c r="E6" t="s">
        <v>339</v>
      </c>
      <c r="F6" s="5">
        <v>36000</v>
      </c>
    </row>
    <row r="7" spans="1:8" x14ac:dyDescent="0.15">
      <c r="A7" s="19">
        <v>0.05</v>
      </c>
      <c r="B7" t="s">
        <v>310</v>
      </c>
      <c r="C7" s="178">
        <v>27826</v>
      </c>
      <c r="D7" s="5">
        <v>54000</v>
      </c>
      <c r="E7" t="s">
        <v>340</v>
      </c>
      <c r="F7" s="5">
        <v>120000</v>
      </c>
    </row>
    <row r="8" spans="1:8" x14ac:dyDescent="0.15">
      <c r="A8" s="19">
        <v>0.1</v>
      </c>
      <c r="B8" t="s">
        <v>311</v>
      </c>
      <c r="C8" s="178">
        <v>28893</v>
      </c>
      <c r="D8" s="5">
        <v>60000</v>
      </c>
      <c r="E8" t="s">
        <v>341</v>
      </c>
      <c r="F8" s="5">
        <v>70000</v>
      </c>
    </row>
    <row r="9" spans="1:8" x14ac:dyDescent="0.15">
      <c r="A9" s="19">
        <v>0</v>
      </c>
      <c r="B9" t="s">
        <v>312</v>
      </c>
      <c r="C9" s="178">
        <v>30167</v>
      </c>
      <c r="D9" s="5">
        <v>0</v>
      </c>
      <c r="E9" s="181" t="s">
        <v>342</v>
      </c>
      <c r="F9" s="5">
        <f>SUM(F3:F8)</f>
        <v>1056000</v>
      </c>
      <c r="G9" s="5">
        <f>F9/2</f>
        <v>528000</v>
      </c>
      <c r="H9" s="15">
        <f>G9/9</f>
        <v>58666.666666666664</v>
      </c>
    </row>
    <row r="10" spans="1:8" x14ac:dyDescent="0.15">
      <c r="A10" s="19">
        <v>0</v>
      </c>
      <c r="B10" t="s">
        <v>313</v>
      </c>
      <c r="C10" s="178">
        <v>30953</v>
      </c>
      <c r="D10" s="5">
        <v>0</v>
      </c>
    </row>
    <row r="11" spans="1:8" x14ac:dyDescent="0.15">
      <c r="A11" s="19">
        <v>0.1</v>
      </c>
      <c r="B11" t="s">
        <v>314</v>
      </c>
      <c r="C11" s="178">
        <v>32532</v>
      </c>
      <c r="D11" s="5">
        <v>60000</v>
      </c>
    </row>
    <row r="12" spans="1:8" x14ac:dyDescent="0.15">
      <c r="A12" s="19">
        <v>0.1</v>
      </c>
      <c r="B12" t="s">
        <v>315</v>
      </c>
      <c r="C12" s="178">
        <v>33375</v>
      </c>
      <c r="D12" s="5">
        <v>60000</v>
      </c>
    </row>
    <row r="13" spans="1:8" x14ac:dyDescent="0.15">
      <c r="A13" s="19">
        <v>0.1</v>
      </c>
      <c r="B13" t="s">
        <v>316</v>
      </c>
      <c r="C13" s="178">
        <v>34021</v>
      </c>
      <c r="D13" s="5">
        <v>60000</v>
      </c>
    </row>
    <row r="14" spans="1:8" x14ac:dyDescent="0.15">
      <c r="A14" s="19">
        <v>0.1</v>
      </c>
      <c r="B14" t="s">
        <v>317</v>
      </c>
      <c r="C14" s="178">
        <v>35019</v>
      </c>
      <c r="D14" s="5">
        <v>60000</v>
      </c>
    </row>
    <row r="15" spans="1:8" x14ac:dyDescent="0.15">
      <c r="A15" s="19">
        <v>0.1</v>
      </c>
      <c r="B15" t="s">
        <v>318</v>
      </c>
      <c r="C15" s="178">
        <v>36098</v>
      </c>
      <c r="D15" s="5">
        <v>60000</v>
      </c>
    </row>
    <row r="16" spans="1:8" x14ac:dyDescent="0.15">
      <c r="A16" s="19"/>
      <c r="C16" s="182" t="s">
        <v>343</v>
      </c>
      <c r="D16" s="5">
        <f>G9-SUM(D3:D15)</f>
        <v>0</v>
      </c>
    </row>
    <row r="17" spans="1:4" x14ac:dyDescent="0.15">
      <c r="A17" s="19"/>
      <c r="C17" s="178"/>
    </row>
    <row r="18" spans="1:4" x14ac:dyDescent="0.15">
      <c r="A18" s="19"/>
      <c r="B18" t="s">
        <v>319</v>
      </c>
      <c r="C18" s="178"/>
      <c r="D18" s="177" t="s">
        <v>334</v>
      </c>
    </row>
    <row r="19" spans="1:4" x14ac:dyDescent="0.15">
      <c r="A19" s="19">
        <v>8.9999999999999993E-3</v>
      </c>
      <c r="B19" t="s">
        <v>320</v>
      </c>
      <c r="C19" s="178">
        <v>32984</v>
      </c>
      <c r="D19" s="177" t="s">
        <v>308</v>
      </c>
    </row>
    <row r="20" spans="1:4" x14ac:dyDescent="0.15">
      <c r="A20" s="19">
        <v>8.0000000000000002E-3</v>
      </c>
      <c r="B20" t="s">
        <v>321</v>
      </c>
      <c r="C20" s="178">
        <v>33749</v>
      </c>
      <c r="D20" s="177" t="s">
        <v>308</v>
      </c>
    </row>
    <row r="21" spans="1:4" x14ac:dyDescent="0.15">
      <c r="A21" s="19">
        <v>8.9999999999999993E-3</v>
      </c>
      <c r="B21" t="s">
        <v>323</v>
      </c>
      <c r="C21" s="178">
        <v>36647</v>
      </c>
      <c r="D21" s="177" t="s">
        <v>310</v>
      </c>
    </row>
    <row r="22" spans="1:4" x14ac:dyDescent="0.15">
      <c r="A22" s="19">
        <v>2.5000000000000001E-2</v>
      </c>
      <c r="B22" t="s">
        <v>325</v>
      </c>
      <c r="C22" s="178">
        <v>36773</v>
      </c>
      <c r="D22" s="177" t="s">
        <v>311</v>
      </c>
    </row>
    <row r="23" spans="1:4" x14ac:dyDescent="0.15">
      <c r="A23" s="19">
        <v>1.2500000000000001E-2</v>
      </c>
      <c r="B23" t="s">
        <v>322</v>
      </c>
      <c r="C23" s="178">
        <v>36952</v>
      </c>
      <c r="D23" s="177" t="s">
        <v>306</v>
      </c>
    </row>
    <row r="24" spans="1:4" x14ac:dyDescent="0.15">
      <c r="A24" s="19">
        <v>8.0000000000000002E-3</v>
      </c>
      <c r="B24" t="s">
        <v>327</v>
      </c>
      <c r="C24" s="178">
        <v>37050</v>
      </c>
      <c r="D24" s="177" t="s">
        <v>310</v>
      </c>
    </row>
    <row r="25" spans="1:4" x14ac:dyDescent="0.15">
      <c r="A25" s="19">
        <v>8.0000000000000002E-3</v>
      </c>
      <c r="B25" t="s">
        <v>324</v>
      </c>
      <c r="C25" s="178">
        <v>37012</v>
      </c>
      <c r="D25" s="177" t="s">
        <v>308</v>
      </c>
    </row>
    <row r="26" spans="1:4" x14ac:dyDescent="0.15">
      <c r="A26" s="19">
        <v>0</v>
      </c>
      <c r="B26" t="s">
        <v>331</v>
      </c>
      <c r="C26" s="178">
        <v>37615</v>
      </c>
      <c r="D26" s="177" t="s">
        <v>313</v>
      </c>
    </row>
    <row r="27" spans="1:4" x14ac:dyDescent="0.15">
      <c r="A27" s="19">
        <v>1.2500000000000001E-2</v>
      </c>
      <c r="B27" t="s">
        <v>92</v>
      </c>
      <c r="C27" s="178">
        <v>38098</v>
      </c>
      <c r="D27" s="177" t="s">
        <v>309</v>
      </c>
    </row>
    <row r="28" spans="1:4" x14ac:dyDescent="0.15">
      <c r="A28" s="19">
        <v>1.2500000000000001E-2</v>
      </c>
      <c r="B28" t="s">
        <v>93</v>
      </c>
      <c r="C28" s="178">
        <v>38287</v>
      </c>
      <c r="D28" s="177" t="s">
        <v>309</v>
      </c>
    </row>
    <row r="29" spans="1:4" x14ac:dyDescent="0.15">
      <c r="A29" s="19">
        <v>8.0000000000000002E-3</v>
      </c>
      <c r="B29" t="s">
        <v>328</v>
      </c>
      <c r="C29" s="178">
        <v>38421</v>
      </c>
      <c r="D29" s="177" t="s">
        <v>310</v>
      </c>
    </row>
    <row r="30" spans="1:4" x14ac:dyDescent="0.15">
      <c r="A30" s="19">
        <v>1.2500000000000001E-2</v>
      </c>
      <c r="B30" t="s">
        <v>329</v>
      </c>
      <c r="C30" s="178">
        <v>38564</v>
      </c>
      <c r="D30" s="177" t="s">
        <v>312</v>
      </c>
    </row>
    <row r="31" spans="1:4" x14ac:dyDescent="0.15">
      <c r="A31" s="19">
        <v>1.2500000000000001E-2</v>
      </c>
      <c r="B31" t="s">
        <v>326</v>
      </c>
      <c r="C31" s="178">
        <v>38939</v>
      </c>
      <c r="D31" s="177" t="s">
        <v>306</v>
      </c>
    </row>
    <row r="32" spans="1:4" x14ac:dyDescent="0.15">
      <c r="A32" s="19">
        <v>1.2500000000000001E-2</v>
      </c>
      <c r="B32" t="s">
        <v>330</v>
      </c>
      <c r="C32" s="178">
        <v>39945</v>
      </c>
      <c r="D32" s="177" t="s">
        <v>312</v>
      </c>
    </row>
    <row r="33" spans="1:4" x14ac:dyDescent="0.15">
      <c r="A33" s="19">
        <v>2.5000000000000001E-2</v>
      </c>
      <c r="B33" t="s">
        <v>332</v>
      </c>
      <c r="C33" s="178">
        <v>40712</v>
      </c>
      <c r="D33" s="177" t="s">
        <v>313</v>
      </c>
    </row>
    <row r="34" spans="1:4" x14ac:dyDescent="0.15">
      <c r="A34" s="19">
        <v>2.5000000000000001E-2</v>
      </c>
      <c r="B34" t="s">
        <v>333</v>
      </c>
      <c r="C34" s="179" t="s">
        <v>89</v>
      </c>
      <c r="D34" s="177" t="s">
        <v>314</v>
      </c>
    </row>
  </sheetData>
  <phoneticPr fontId="2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2020</vt:lpstr>
      <vt:lpstr>Personal Financial Data</vt:lpstr>
      <vt:lpstr>GCU Costs</vt:lpstr>
      <vt:lpstr>Dissemination of Assets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kdemarais</dc:creator>
  <cp:lastModifiedBy>Jennifer Moore</cp:lastModifiedBy>
  <cp:lastPrinted>2017-06-29T23:37:45Z</cp:lastPrinted>
  <dcterms:created xsi:type="dcterms:W3CDTF">2010-08-09T16:11:43Z</dcterms:created>
  <dcterms:modified xsi:type="dcterms:W3CDTF">2023-10-17T14:14:46Z</dcterms:modified>
</cp:coreProperties>
</file>